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655" tabRatio="868" activeTab="1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Coke-chemical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'P&amp;L'!$AR$9</definedName>
    <definedName name="_xlnm.Print_Area" localSheetId="9">'Balance Sheet'!$A$1:$AD$54</definedName>
    <definedName name="_xlnm.Print_Area" localSheetId="8">'CashFlow'!$A$1:$AD$69</definedName>
    <definedName name="_xlnm.Print_Area" localSheetId="5">'Coke-chemical segment'!$A$1:$AD$40</definedName>
    <definedName name="_xlnm.Print_Area" localSheetId="3">'Long products segment'!$A$1:$AE$49</definedName>
    <definedName name="_xlnm.Print_Area" localSheetId="4">'Mining segment'!$A$1:$AE$49</definedName>
    <definedName name="_xlnm.Print_Area" localSheetId="1">'Multiples'!$A$1:$AE$38</definedName>
    <definedName name="_xlnm.Print_Area" localSheetId="6">'Other segment'!$A$1:$AE$14</definedName>
    <definedName name="_xlnm.Print_Area" localSheetId="7">'P&amp;L'!$A$1:$AE$62</definedName>
    <definedName name="_xlnm.Print_Area" localSheetId="2">'Steel segment'!$A$1:$AE$49</definedName>
  </definedNames>
  <calcPr fullCalcOnLoad="1"/>
</workbook>
</file>

<file path=xl/sharedStrings.xml><?xml version="1.0" encoding="utf-8"?>
<sst xmlns="http://schemas.openxmlformats.org/spreadsheetml/2006/main" count="1394" uniqueCount="258">
  <si>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</si>
  <si>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</si>
  <si>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</si>
  <si>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</si>
  <si>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</si>
  <si>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</si>
  <si>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</si>
  <si>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</si>
  <si>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</si>
  <si>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</si>
  <si>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</si>
  <si>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</si>
  <si>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</si>
  <si>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</si>
  <si>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</si>
  <si>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</si>
  <si>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</si>
  <si>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</si>
  <si>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</si>
  <si>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</si>
  <si>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</si>
  <si>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</si>
  <si>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</si>
  <si>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</si>
  <si>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</si>
  <si>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</si>
  <si>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</si>
  <si>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</si>
  <si>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</si>
  <si>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</si>
  <si>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</si>
  <si>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</si>
  <si>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</si>
  <si>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</si>
  <si>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</si>
  <si>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</si>
  <si>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</si>
  <si>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</si>
  <si>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</si>
  <si>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</si>
  <si>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</si>
  <si>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</si>
  <si>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</si>
  <si>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</si>
  <si>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</si>
  <si>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</si>
  <si>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</si>
  <si>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</si>
  <si>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</si>
  <si>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</si>
  <si>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</si>
  <si>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</si>
  <si>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</si>
  <si>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</si>
  <si>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</si>
  <si>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</si>
  <si>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</si>
  <si>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</si>
  <si>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</si>
  <si>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</si>
  <si>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</si>
  <si>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</si>
  <si>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</si>
  <si>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</si>
  <si>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</si>
  <si>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</si>
  <si>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</si>
  <si>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</si>
  <si>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</si>
  <si>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</si>
  <si>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</si>
  <si>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</si>
  <si>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</si>
  <si>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</si>
  <si>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</si>
  <si>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</si>
  <si>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</si>
  <si>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</si>
  <si>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</si>
  <si>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</si>
  <si>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</si>
  <si>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</si>
  <si>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</si>
  <si>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</si>
  <si>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</si>
  <si>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</si>
  <si>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</si>
  <si>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</si>
  <si>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</si>
  <si>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</si>
  <si>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</si>
  <si>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</si>
  <si>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</si>
  <si>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</si>
  <si>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</si>
  <si>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</si>
  <si>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</si>
  <si>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</si>
  <si>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</si>
  <si>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</si>
  <si>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</si>
  <si>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</si>
  <si>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</si>
  <si>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</si>
  <si>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</si>
  <si>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</si>
  <si>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</si>
  <si>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</si>
  <si>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</si>
  <si>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</si>
  <si>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</si>
  <si>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</si>
  <si>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</si>
  <si>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</si>
  <si>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</si>
  <si>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</si>
  <si>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</si>
  <si>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</si>
  <si>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</si>
  <si>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</si>
  <si>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</si>
  <si>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</si>
  <si>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</si>
  <si>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</si>
  <si>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</si>
  <si>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</si>
  <si>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</si>
  <si>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</si>
  <si>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</si>
  <si>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</si>
  <si>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</si>
  <si>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</si>
  <si>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</si>
  <si>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</si>
  <si>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</si>
  <si>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</si>
  <si>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</si>
  <si>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</si>
  <si>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</si>
  <si>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</si>
  <si>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</si>
  <si>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</si>
  <si>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</si>
  <si>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</si>
  <si>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</si>
  <si>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</si>
  <si>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</si>
  <si>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</si>
  <si>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</si>
  <si>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</si>
  <si>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</si>
  <si>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</si>
  <si>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</si>
  <si>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</si>
  <si>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</si>
  <si>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</si>
  <si>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</si>
  <si>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</si>
  <si>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 xml:space="preserve">Coke </t>
  </si>
  <si>
    <t xml:space="preserve">Cash cost of coke  (USD/t) </t>
  </si>
  <si>
    <t xml:space="preserve">Operating income per tonne of coke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</si>
  <si>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</si>
  <si>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</si>
  <si>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</si>
  <si>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</si>
  <si>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</si>
  <si>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</si>
  <si>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</si>
  <si>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</si>
  <si>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</si>
  <si>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</si>
  <si>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</si>
  <si>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</si>
  <si>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</si>
  <si>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</si>
  <si>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</si>
  <si>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</si>
  <si>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</si>
  <si>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</si>
  <si>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</si>
  <si>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</si>
  <si>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</si>
  <si>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Coke shipments to external customers</t>
  </si>
  <si>
    <t>Iron ore shipments to external customers, incl.</t>
  </si>
  <si>
    <t xml:space="preserve">Operating income per tonne of steel (USD/t) </t>
  </si>
  <si>
    <t>Market capitalization (as of end of the period (USDm)</t>
  </si>
  <si>
    <t>Coke total sales (`000 tonnes)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</si>
  <si>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</si>
  <si>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</si>
  <si>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</si>
  <si>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</si>
  <si>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</si>
  <si>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</si>
  <si>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</si>
  <si>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</si>
  <si>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</si>
  <si>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</si>
  <si>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</si>
  <si>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</si>
  <si>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</si>
  <si>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</si>
  <si>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</si>
  <si>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</si>
  <si>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</si>
  <si>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</si>
  <si>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</si>
  <si>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</si>
  <si>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</si>
  <si>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</si>
  <si>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</si>
  <si>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</si>
  <si>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</si>
  <si>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</si>
  <si>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r>
      <t>Iron ore Shipment (000t)</t>
    </r>
    <r>
      <rPr>
        <b/>
        <vertAlign val="superscript"/>
        <sz val="8"/>
        <color indexed="63"/>
        <rFont val="Arial"/>
        <family val="2"/>
      </rPr>
      <t>1</t>
    </r>
  </si>
  <si>
    <r>
      <t>Selling price for external customers (USD/t)</t>
    </r>
    <r>
      <rPr>
        <b/>
        <vertAlign val="superscript"/>
        <sz val="8"/>
        <rFont val="Arial"/>
        <family val="2"/>
      </rPr>
      <t>2</t>
    </r>
  </si>
  <si>
    <t>9M09</t>
  </si>
  <si>
    <t>12M2009</t>
  </si>
  <si>
    <t>12M09</t>
  </si>
  <si>
    <t>31.12.2009</t>
  </si>
  <si>
    <t>1Q10</t>
  </si>
  <si>
    <t>1Q2010</t>
  </si>
  <si>
    <r>
      <t>2</t>
    </r>
    <r>
      <rPr>
        <sz val="8"/>
        <rFont val="Arial"/>
        <family val="2"/>
      </rPr>
      <t xml:space="preserve"> Stoilensky prices </t>
    </r>
  </si>
  <si>
    <r>
      <t>1</t>
    </r>
    <r>
      <rPr>
        <sz val="8"/>
        <rFont val="Arial"/>
        <family val="2"/>
      </rPr>
      <t xml:space="preserve"> Including sales through trading companies </t>
    </r>
  </si>
  <si>
    <r>
      <t>Coke-chemical segment</t>
    </r>
    <r>
      <rPr>
        <vertAlign val="superscript"/>
        <sz val="10"/>
        <rFont val="Calibri"/>
        <family val="2"/>
      </rPr>
      <t>1</t>
    </r>
  </si>
  <si>
    <r>
      <t>Coke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</si>
  <si>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</si>
  <si>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</si>
  <si>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2</t>
    </r>
    <r>
      <rPr>
        <sz val="8"/>
        <rFont val="Calibri"/>
        <family val="2"/>
      </rPr>
      <t xml:space="preserve"> Including sales through trading companies </t>
    </r>
  </si>
  <si>
    <r>
      <t>3</t>
    </r>
    <r>
      <rPr>
        <sz val="8"/>
        <rFont val="Calibri"/>
        <family val="2"/>
      </rPr>
      <t xml:space="preserve"> Altai-Koks prices 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</si>
  <si>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</si>
  <si>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</si>
  <si>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</si>
  <si>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</si>
  <si>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</si>
  <si>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</si>
  <si>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</si>
  <si>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</si>
  <si>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</si>
  <si>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</si>
  <si>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</si>
  <si>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</si>
  <si>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</si>
  <si>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</si>
  <si>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</si>
  <si>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</si>
  <si>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</si>
  <si>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</si>
  <si>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</si>
  <si>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</si>
  <si>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</si>
  <si>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</si>
  <si>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</si>
  <si>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</si>
  <si>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H12011</t>
  </si>
  <si>
    <t>9M11</t>
  </si>
  <si>
    <t>2005 - 9M 2011</t>
  </si>
  <si>
    <t>9M2011</t>
  </si>
  <si>
    <t>9M11*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</si>
</sst>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  <numFmt numFmtId="177" formatCode="_(* #,##0.00_);_(* \(#,##0.00\);_(* &quot;-&quot;_);_(@_)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63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8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</font>
    <font>
      <sz val="11"/>
      <name val="Times New Roman Cyr"/>
      <family val="0"/>
    </font>
    <font>
      <b/>
      <vertAlign val="superscript"/>
      <sz val="8"/>
      <color indexed="63"/>
      <name val="Arial"/>
      <family val="2"/>
    </font>
    <font>
      <vertAlign val="superscript"/>
      <sz val="10"/>
      <name val="Calibri"/>
      <family val="2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vertAlign val="superscript"/>
      <sz val="8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vertAlign val="superscript"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3"/>
      </top>
      <bottom style="thin">
        <color theme="3"/>
      </bottom>
    </border>
    <border>
      <left/>
      <right/>
      <top/>
      <bottom style="thin">
        <color theme="3"/>
      </bottom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8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3" fillId="0" borderId="0" xfId="71" applyNumberFormat="1" applyFont="1" applyBorder="1" applyAlignment="1">
      <alignment horizontal="right"/>
    </xf>
    <xf numFmtId="9" fontId="3" fillId="0" borderId="10" xfId="71" applyNumberFormat="1" applyFont="1" applyFill="1" applyBorder="1" applyAlignment="1">
      <alignment horizontal="right"/>
    </xf>
    <xf numFmtId="9" fontId="3" fillId="0" borderId="10" xfId="71" applyNumberFormat="1" applyFont="1" applyBorder="1" applyAlignment="1">
      <alignment horizontal="right"/>
    </xf>
    <xf numFmtId="9" fontId="3" fillId="0" borderId="0" xfId="71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5" fontId="3" fillId="0" borderId="0" xfId="7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65" fontId="3" fillId="0" borderId="10" xfId="7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0" fillId="0" borderId="0" xfId="71" applyNumberFormat="1" applyFont="1" applyBorder="1" applyAlignment="1">
      <alignment horizontal="right"/>
    </xf>
    <xf numFmtId="3" fontId="10" fillId="0" borderId="0" xfId="7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indent="2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9" fontId="10" fillId="0" borderId="0" xfId="71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9" fontId="10" fillId="0" borderId="0" xfId="71" applyNumberFormat="1" applyFont="1" applyBorder="1" applyAlignment="1">
      <alignment horizontal="right"/>
    </xf>
    <xf numFmtId="165" fontId="10" fillId="0" borderId="0" xfId="71" applyNumberFormat="1" applyFont="1" applyBorder="1" applyAlignment="1">
      <alignment horizontal="right"/>
    </xf>
    <xf numFmtId="165" fontId="10" fillId="0" borderId="0" xfId="71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9" fontId="12" fillId="0" borderId="0" xfId="71" applyNumberFormat="1" applyFont="1" applyBorder="1" applyAlignment="1">
      <alignment horizontal="right"/>
    </xf>
    <xf numFmtId="165" fontId="12" fillId="0" borderId="0" xfId="71" applyNumberFormat="1" applyFont="1" applyBorder="1" applyAlignment="1">
      <alignment horizontal="right"/>
    </xf>
    <xf numFmtId="165" fontId="12" fillId="0" borderId="0" xfId="71" applyNumberFormat="1" applyFont="1" applyFill="1" applyBorder="1" applyAlignment="1">
      <alignment horizontal="right"/>
    </xf>
    <xf numFmtId="9" fontId="12" fillId="0" borderId="0" xfId="71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6" fillId="0" borderId="0" xfId="71" applyNumberFormat="1" applyFont="1" applyBorder="1" applyAlignment="1">
      <alignment horizontal="right"/>
    </xf>
    <xf numFmtId="9" fontId="15" fillId="0" borderId="10" xfId="71" applyNumberFormat="1" applyFont="1" applyFill="1" applyBorder="1" applyAlignment="1">
      <alignment horizontal="right"/>
    </xf>
    <xf numFmtId="9" fontId="15" fillId="0" borderId="0" xfId="71" applyNumberFormat="1" applyFont="1" applyFill="1" applyBorder="1" applyAlignment="1">
      <alignment horizontal="right"/>
    </xf>
    <xf numFmtId="9" fontId="15" fillId="0" borderId="0" xfId="71" applyNumberFormat="1" applyFont="1" applyBorder="1" applyAlignment="1">
      <alignment horizontal="right"/>
    </xf>
    <xf numFmtId="0" fontId="17" fillId="0" borderId="0" xfId="0" applyFont="1" applyAlignment="1">
      <alignment/>
    </xf>
    <xf numFmtId="9" fontId="16" fillId="0" borderId="0" xfId="71" applyNumberFormat="1" applyFont="1" applyBorder="1" applyAlignment="1">
      <alignment horizontal="right"/>
    </xf>
    <xf numFmtId="9" fontId="15" fillId="0" borderId="10" xfId="71" applyNumberFormat="1" applyFont="1" applyFill="1" applyBorder="1" applyAlignment="1">
      <alignment horizontal="right"/>
    </xf>
    <xf numFmtId="9" fontId="15" fillId="0" borderId="0" xfId="71" applyNumberFormat="1" applyFont="1" applyFill="1" applyBorder="1" applyAlignment="1">
      <alignment horizontal="right"/>
    </xf>
    <xf numFmtId="9" fontId="15" fillId="0" borderId="0" xfId="71" applyNumberFormat="1" applyFont="1" applyBorder="1" applyAlignment="1">
      <alignment horizontal="right"/>
    </xf>
    <xf numFmtId="165" fontId="16" fillId="0" borderId="0" xfId="71" applyNumberFormat="1" applyFont="1" applyBorder="1" applyAlignment="1">
      <alignment horizontal="right"/>
    </xf>
    <xf numFmtId="1" fontId="15" fillId="0" borderId="10" xfId="0" applyNumberFormat="1" applyFont="1" applyFill="1" applyBorder="1" applyAlignment="1">
      <alignment horizontal="right"/>
    </xf>
    <xf numFmtId="3" fontId="8" fillId="0" borderId="0" xfId="71" applyNumberFormat="1" applyFont="1" applyBorder="1" applyAlignment="1">
      <alignment horizontal="right"/>
    </xf>
    <xf numFmtId="9" fontId="2" fillId="0" borderId="0" xfId="7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8" fillId="0" borderId="0" xfId="7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71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8" fillId="0" borderId="0" xfId="71" applyNumberFormat="1" applyFont="1" applyBorder="1" applyAlignment="1">
      <alignment horizontal="right"/>
    </xf>
    <xf numFmtId="3" fontId="8" fillId="0" borderId="0" xfId="71" applyNumberFormat="1" applyFont="1" applyBorder="1" applyAlignment="1">
      <alignment horizontal="right"/>
    </xf>
    <xf numFmtId="9" fontId="2" fillId="0" borderId="0" xfId="71" applyNumberFormat="1" applyFont="1" applyBorder="1" applyAlignment="1">
      <alignment horizontal="right"/>
    </xf>
    <xf numFmtId="9" fontId="8" fillId="0" borderId="0" xfId="71" applyNumberFormat="1" applyFont="1" applyFill="1" applyBorder="1" applyAlignment="1">
      <alignment horizontal="right"/>
    </xf>
    <xf numFmtId="9" fontId="16" fillId="0" borderId="0" xfId="71" applyNumberFormat="1" applyFont="1" applyFill="1" applyBorder="1" applyAlignment="1">
      <alignment horizontal="right"/>
    </xf>
    <xf numFmtId="3" fontId="98" fillId="0" borderId="0" xfId="71" applyNumberFormat="1" applyFont="1" applyFill="1" applyBorder="1" applyAlignment="1">
      <alignment horizontal="right"/>
    </xf>
    <xf numFmtId="9" fontId="98" fillId="0" borderId="0" xfId="7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0" xfId="71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9" fontId="49" fillId="0" borderId="0" xfId="71" applyNumberFormat="1" applyFont="1" applyBorder="1" applyAlignment="1">
      <alignment horizontal="right"/>
    </xf>
    <xf numFmtId="165" fontId="49" fillId="0" borderId="0" xfId="71" applyNumberFormat="1" applyFont="1" applyBorder="1" applyAlignment="1">
      <alignment horizontal="right"/>
    </xf>
    <xf numFmtId="165" fontId="49" fillId="0" borderId="0" xfId="71" applyNumberFormat="1" applyFont="1" applyFill="1" applyBorder="1" applyAlignment="1">
      <alignment horizontal="right"/>
    </xf>
    <xf numFmtId="165" fontId="48" fillId="0" borderId="0" xfId="71" applyNumberFormat="1" applyFont="1" applyBorder="1" applyAlignment="1">
      <alignment horizontal="right"/>
    </xf>
    <xf numFmtId="9" fontId="49" fillId="0" borderId="0" xfId="71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23" fillId="0" borderId="10" xfId="0" applyFont="1" applyBorder="1" applyAlignment="1">
      <alignment/>
    </xf>
    <xf numFmtId="9" fontId="23" fillId="0" borderId="10" xfId="71" applyNumberFormat="1" applyFont="1" applyFill="1" applyBorder="1" applyAlignment="1">
      <alignment horizontal="right"/>
    </xf>
    <xf numFmtId="9" fontId="22" fillId="0" borderId="10" xfId="71" applyNumberFormat="1" applyFont="1" applyFill="1" applyBorder="1" applyAlignment="1">
      <alignment horizontal="right"/>
    </xf>
    <xf numFmtId="9" fontId="22" fillId="0" borderId="0" xfId="71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9" fontId="23" fillId="0" borderId="0" xfId="71" applyNumberFormat="1" applyFont="1" applyFill="1" applyBorder="1" applyAlignment="1">
      <alignment horizontal="right"/>
    </xf>
    <xf numFmtId="0" fontId="47" fillId="0" borderId="11" xfId="0" applyFont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9" fontId="51" fillId="0" borderId="0" xfId="71" applyNumberFormat="1" applyFont="1" applyBorder="1" applyAlignment="1">
      <alignment horizontal="right"/>
    </xf>
    <xf numFmtId="9" fontId="23" fillId="0" borderId="10" xfId="71" applyNumberFormat="1" applyFont="1" applyBorder="1" applyAlignment="1">
      <alignment horizontal="right"/>
    </xf>
    <xf numFmtId="165" fontId="23" fillId="0" borderId="10" xfId="71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9" fontId="52" fillId="0" borderId="10" xfId="71" applyNumberFormat="1" applyFont="1" applyBorder="1" applyAlignment="1">
      <alignment horizontal="right"/>
    </xf>
    <xf numFmtId="9" fontId="52" fillId="0" borderId="0" xfId="71" applyNumberFormat="1" applyFont="1" applyBorder="1" applyAlignment="1">
      <alignment horizontal="right"/>
    </xf>
    <xf numFmtId="9" fontId="23" fillId="0" borderId="0" xfId="71" applyNumberFormat="1" applyFont="1" applyBorder="1" applyAlignment="1">
      <alignment horizontal="right"/>
    </xf>
    <xf numFmtId="165" fontId="23" fillId="0" borderId="0" xfId="71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51" fillId="0" borderId="0" xfId="71" applyNumberFormat="1" applyFont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52" fillId="0" borderId="10" xfId="0" applyNumberFormat="1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22" fillId="0" borderId="0" xfId="0" applyFont="1" applyBorder="1" applyAlignment="1">
      <alignment wrapText="1"/>
    </xf>
    <xf numFmtId="1" fontId="22" fillId="0" borderId="0" xfId="0" applyNumberFormat="1" applyFont="1" applyFill="1" applyBorder="1" applyAlignment="1">
      <alignment horizontal="right"/>
    </xf>
    <xf numFmtId="9" fontId="54" fillId="0" borderId="0" xfId="71" applyNumberFormat="1" applyFont="1" applyBorder="1" applyAlignment="1">
      <alignment horizontal="right"/>
    </xf>
    <xf numFmtId="165" fontId="54" fillId="0" borderId="0" xfId="71" applyNumberFormat="1" applyFont="1" applyBorder="1" applyAlignment="1">
      <alignment horizontal="right"/>
    </xf>
    <xf numFmtId="165" fontId="54" fillId="0" borderId="0" xfId="71" applyNumberFormat="1" applyFont="1" applyFill="1" applyBorder="1" applyAlignment="1">
      <alignment horizontal="right"/>
    </xf>
    <xf numFmtId="9" fontId="54" fillId="0" borderId="0" xfId="71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9" fontId="52" fillId="0" borderId="0" xfId="71" applyNumberFormat="1" applyFont="1" applyFill="1" applyBorder="1" applyAlignment="1">
      <alignment horizontal="right"/>
    </xf>
    <xf numFmtId="9" fontId="22" fillId="0" borderId="0" xfId="71" applyNumberFormat="1" applyFont="1" applyBorder="1" applyAlignment="1">
      <alignment horizontal="right"/>
    </xf>
    <xf numFmtId="9" fontId="23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5" fillId="0" borderId="0" xfId="0" applyFont="1" applyAlignment="1">
      <alignment/>
    </xf>
    <xf numFmtId="0" fontId="99" fillId="0" borderId="0" xfId="0" applyFont="1" applyAlignment="1">
      <alignment/>
    </xf>
    <xf numFmtId="0" fontId="44" fillId="0" borderId="0" xfId="0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33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72" fontId="22" fillId="0" borderId="0" xfId="66" applyNumberFormat="1" applyFont="1" applyBorder="1" applyAlignment="1">
      <alignment horizontal="center"/>
      <protection/>
    </xf>
    <xf numFmtId="172" fontId="22" fillId="0" borderId="0" xfId="66" applyNumberFormat="1" applyFont="1" applyFill="1" applyBorder="1" applyAlignment="1">
      <alignment horizontal="center"/>
      <protection/>
    </xf>
    <xf numFmtId="172" fontId="47" fillId="0" borderId="15" xfId="66" applyNumberFormat="1" applyFont="1" applyFill="1" applyBorder="1">
      <alignment/>
      <protection/>
    </xf>
    <xf numFmtId="3" fontId="47" fillId="0" borderId="15" xfId="66" applyNumberFormat="1" applyFont="1" applyFill="1" applyBorder="1">
      <alignment/>
      <protection/>
    </xf>
    <xf numFmtId="172" fontId="47" fillId="0" borderId="0" xfId="66" applyNumberFormat="1" applyFont="1" applyFill="1" applyBorder="1">
      <alignment/>
      <protection/>
    </xf>
    <xf numFmtId="3" fontId="47" fillId="0" borderId="0" xfId="66" applyNumberFormat="1" applyFont="1" applyFill="1" applyBorder="1">
      <alignment/>
      <protection/>
    </xf>
    <xf numFmtId="0" fontId="22" fillId="33" borderId="0" xfId="66" applyFont="1" applyFill="1" applyBorder="1">
      <alignment/>
      <protection/>
    </xf>
    <xf numFmtId="3" fontId="22" fillId="33" borderId="0" xfId="66" applyNumberFormat="1" applyFont="1" applyFill="1" applyBorder="1">
      <alignment/>
      <protection/>
    </xf>
    <xf numFmtId="3" fontId="22" fillId="0" borderId="0" xfId="66" applyNumberFormat="1" applyFont="1" applyFill="1" applyBorder="1">
      <alignment/>
      <protection/>
    </xf>
    <xf numFmtId="0" fontId="44" fillId="0" borderId="0" xfId="0" applyFont="1" applyAlignment="1">
      <alignment horizontal="center"/>
    </xf>
    <xf numFmtId="172" fontId="22" fillId="0" borderId="0" xfId="66" applyNumberFormat="1" applyFont="1" applyBorder="1">
      <alignment/>
      <protection/>
    </xf>
    <xf numFmtId="3" fontId="22" fillId="0" borderId="0" xfId="66" applyNumberFormat="1" applyFont="1" applyBorder="1">
      <alignment/>
      <protection/>
    </xf>
    <xf numFmtId="172" fontId="47" fillId="0" borderId="15" xfId="66" applyNumberFormat="1" applyFont="1" applyBorder="1">
      <alignment/>
      <protection/>
    </xf>
    <xf numFmtId="3" fontId="47" fillId="0" borderId="15" xfId="66" applyNumberFormat="1" applyFont="1" applyBorder="1">
      <alignment/>
      <protection/>
    </xf>
    <xf numFmtId="172" fontId="22" fillId="0" borderId="0" xfId="66" applyNumberFormat="1" applyFont="1" applyFill="1" applyBorder="1">
      <alignment/>
      <protection/>
    </xf>
    <xf numFmtId="172" fontId="47" fillId="0" borderId="16" xfId="66" applyNumberFormat="1" applyFont="1" applyFill="1" applyBorder="1">
      <alignment/>
      <protection/>
    </xf>
    <xf numFmtId="3" fontId="47" fillId="0" borderId="16" xfId="66" applyNumberFormat="1" applyFont="1" applyFill="1" applyBorder="1">
      <alignment/>
      <protection/>
    </xf>
    <xf numFmtId="172" fontId="47" fillId="0" borderId="17" xfId="66" applyNumberFormat="1" applyFont="1" applyFill="1" applyBorder="1">
      <alignment/>
      <protection/>
    </xf>
    <xf numFmtId="3" fontId="47" fillId="0" borderId="17" xfId="66" applyNumberFormat="1" applyFont="1" applyFill="1" applyBorder="1">
      <alignment/>
      <protection/>
    </xf>
    <xf numFmtId="172" fontId="22" fillId="33" borderId="0" xfId="66" applyNumberFormat="1" applyFont="1" applyFill="1" applyBorder="1">
      <alignment/>
      <protection/>
    </xf>
    <xf numFmtId="172" fontId="47" fillId="0" borderId="15" xfId="66" applyNumberFormat="1" applyFont="1" applyFill="1" applyBorder="1" applyAlignment="1">
      <alignment wrapText="1"/>
      <protection/>
    </xf>
    <xf numFmtId="3" fontId="47" fillId="0" borderId="15" xfId="66" applyNumberFormat="1" applyFont="1" applyFill="1" applyBorder="1" applyAlignment="1">
      <alignment wrapText="1"/>
      <protection/>
    </xf>
    <xf numFmtId="172" fontId="47" fillId="0" borderId="18" xfId="66" applyNumberFormat="1" applyFont="1" applyBorder="1">
      <alignment/>
      <protection/>
    </xf>
    <xf numFmtId="3" fontId="47" fillId="0" borderId="18" xfId="66" applyNumberFormat="1" applyFont="1" applyFill="1" applyBorder="1">
      <alignment/>
      <protection/>
    </xf>
    <xf numFmtId="3" fontId="47" fillId="0" borderId="18" xfId="66" applyNumberFormat="1" applyFont="1" applyBorder="1">
      <alignment/>
      <protection/>
    </xf>
    <xf numFmtId="9" fontId="47" fillId="0" borderId="19" xfId="71" applyFont="1" applyBorder="1" applyAlignment="1">
      <alignment vertical="center" wrapText="1"/>
    </xf>
    <xf numFmtId="9" fontId="47" fillId="0" borderId="19" xfId="71" applyFont="1" applyFill="1" applyBorder="1" applyAlignment="1">
      <alignment vertical="center" wrapText="1"/>
    </xf>
    <xf numFmtId="9" fontId="22" fillId="0" borderId="0" xfId="71" applyFont="1" applyAlignment="1">
      <alignment/>
    </xf>
    <xf numFmtId="0" fontId="47" fillId="0" borderId="19" xfId="0" applyFont="1" applyBorder="1" applyAlignment="1">
      <alignment vertical="center" wrapText="1"/>
    </xf>
    <xf numFmtId="167" fontId="47" fillId="0" borderId="19" xfId="0" applyNumberFormat="1" applyFont="1" applyBorder="1" applyAlignment="1">
      <alignment vertical="center" wrapText="1"/>
    </xf>
    <xf numFmtId="167" fontId="47" fillId="0" borderId="19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169" fontId="47" fillId="0" borderId="19" xfId="0" applyNumberFormat="1" applyFont="1" applyBorder="1" applyAlignment="1">
      <alignment vertical="center" wrapText="1"/>
    </xf>
    <xf numFmtId="169" fontId="47" fillId="0" borderId="19" xfId="0" applyNumberFormat="1" applyFont="1" applyBorder="1" applyAlignment="1">
      <alignment horizontal="right" vertical="center" wrapText="1"/>
    </xf>
    <xf numFmtId="169" fontId="47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10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59" fillId="33" borderId="0" xfId="67" applyFont="1" applyFill="1" applyAlignment="1">
      <alignment wrapText="1"/>
      <protection/>
    </xf>
    <xf numFmtId="0" fontId="60" fillId="33" borderId="0" xfId="0" applyFont="1" applyFill="1" applyAlignment="1">
      <alignment/>
    </xf>
    <xf numFmtId="0" fontId="47" fillId="33" borderId="0" xfId="67" applyFont="1" applyFill="1" applyAlignment="1">
      <alignment wrapText="1"/>
      <protection/>
    </xf>
    <xf numFmtId="0" fontId="47" fillId="0" borderId="0" xfId="67" applyFont="1" applyFill="1" applyAlignment="1">
      <alignment wrapText="1"/>
      <protection/>
    </xf>
    <xf numFmtId="0" fontId="60" fillId="0" borderId="0" xfId="0" applyFont="1" applyAlignment="1">
      <alignment/>
    </xf>
    <xf numFmtId="0" fontId="59" fillId="33" borderId="16" xfId="0" applyFont="1" applyFill="1" applyBorder="1" applyAlignment="1">
      <alignment/>
    </xf>
    <xf numFmtId="3" fontId="59" fillId="33" borderId="16" xfId="0" applyNumberFormat="1" applyFont="1" applyFill="1" applyBorder="1" applyAlignment="1">
      <alignment horizontal="right" vertical="center" wrapText="1"/>
    </xf>
    <xf numFmtId="3" fontId="47" fillId="33" borderId="16" xfId="0" applyNumberFormat="1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horizontal="right" vertical="center" wrapText="1"/>
    </xf>
    <xf numFmtId="0" fontId="59" fillId="33" borderId="16" xfId="0" applyFont="1" applyFill="1" applyBorder="1" applyAlignment="1">
      <alignment vertical="center" wrapText="1"/>
    </xf>
    <xf numFmtId="3" fontId="60" fillId="33" borderId="0" xfId="0" applyNumberFormat="1" applyFont="1" applyFill="1" applyAlignment="1">
      <alignment horizontal="right" vertical="center" wrapText="1"/>
    </xf>
    <xf numFmtId="3" fontId="22" fillId="33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6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59" fillId="0" borderId="0" xfId="0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59" fillId="0" borderId="0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 wrapText="1"/>
    </xf>
    <xf numFmtId="3" fontId="62" fillId="0" borderId="15" xfId="0" applyNumberFormat="1" applyFont="1" applyFill="1" applyBorder="1" applyAlignment="1">
      <alignment horizontal="right" vertical="center" wrapText="1"/>
    </xf>
    <xf numFmtId="3" fontId="58" fillId="0" borderId="15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59" fillId="0" borderId="0" xfId="67" applyFont="1" applyFill="1" applyBorder="1" applyAlignment="1">
      <alignment vertical="center" wrapText="1"/>
      <protection/>
    </xf>
    <xf numFmtId="3" fontId="59" fillId="0" borderId="0" xfId="67" applyNumberFormat="1" applyFont="1" applyFill="1" applyBorder="1" applyAlignment="1">
      <alignment horizontal="right" vertical="center" wrapText="1"/>
      <protection/>
    </xf>
    <xf numFmtId="3" fontId="47" fillId="0" borderId="0" xfId="67" applyNumberFormat="1" applyFont="1" applyFill="1" applyBorder="1" applyAlignment="1">
      <alignment horizontal="right" vertical="center" wrapText="1"/>
      <protection/>
    </xf>
    <xf numFmtId="0" fontId="60" fillId="0" borderId="0" xfId="67" applyFont="1" applyFill="1" applyBorder="1" applyAlignment="1">
      <alignment horizontal="left" vertical="center" wrapText="1"/>
      <protection/>
    </xf>
    <xf numFmtId="3" fontId="60" fillId="0" borderId="0" xfId="67" applyNumberFormat="1" applyFont="1" applyFill="1" applyBorder="1" applyAlignment="1">
      <alignment horizontal="right" vertical="center" wrapText="1"/>
      <protection/>
    </xf>
    <xf numFmtId="3" fontId="22" fillId="0" borderId="0" xfId="6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0" fontId="60" fillId="0" borderId="0" xfId="67" applyFont="1" applyFill="1" applyBorder="1" applyAlignment="1">
      <alignment horizontal="left" vertical="center"/>
      <protection/>
    </xf>
    <xf numFmtId="0" fontId="62" fillId="0" borderId="15" xfId="67" applyFont="1" applyFill="1" applyBorder="1" applyAlignment="1">
      <alignment vertical="center" wrapText="1"/>
      <protection/>
    </xf>
    <xf numFmtId="3" fontId="62" fillId="0" borderId="15" xfId="67" applyNumberFormat="1" applyFont="1" applyFill="1" applyBorder="1" applyAlignment="1">
      <alignment horizontal="right" vertical="center" wrapText="1"/>
      <protection/>
    </xf>
    <xf numFmtId="3" fontId="58" fillId="0" borderId="15" xfId="67" applyNumberFormat="1" applyFont="1" applyFill="1" applyBorder="1" applyAlignment="1">
      <alignment horizontal="right" vertical="center" wrapText="1"/>
      <protection/>
    </xf>
    <xf numFmtId="0" fontId="59" fillId="0" borderId="0" xfId="67" applyFont="1" applyFill="1" applyBorder="1" applyAlignment="1">
      <alignment vertical="center"/>
      <protection/>
    </xf>
    <xf numFmtId="3" fontId="59" fillId="0" borderId="0" xfId="67" applyNumberFormat="1" applyFont="1" applyFill="1" applyBorder="1" applyAlignment="1">
      <alignment vertical="center" wrapText="1"/>
      <protection/>
    </xf>
    <xf numFmtId="0" fontId="62" fillId="0" borderId="15" xfId="67" applyFont="1" applyFill="1" applyBorder="1" applyAlignment="1">
      <alignment horizontal="left" vertical="center" wrapText="1"/>
      <protection/>
    </xf>
    <xf numFmtId="0" fontId="59" fillId="0" borderId="15" xfId="0" applyFont="1" applyFill="1" applyBorder="1" applyAlignment="1">
      <alignment vertical="center" wrapText="1"/>
    </xf>
    <xf numFmtId="3" fontId="59" fillId="0" borderId="15" xfId="0" applyNumberFormat="1" applyFont="1" applyFill="1" applyBorder="1" applyAlignment="1">
      <alignment horizontal="right" vertical="center" wrapText="1"/>
    </xf>
    <xf numFmtId="3" fontId="47" fillId="0" borderId="15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 wrapText="1"/>
    </xf>
    <xf numFmtId="3" fontId="60" fillId="0" borderId="16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0" fontId="60" fillId="0" borderId="17" xfId="0" applyFont="1" applyFill="1" applyBorder="1" applyAlignment="1">
      <alignment vertical="center" wrapText="1"/>
    </xf>
    <xf numFmtId="3" fontId="60" fillId="0" borderId="17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0" fontId="59" fillId="0" borderId="18" xfId="0" applyFont="1" applyFill="1" applyBorder="1" applyAlignment="1">
      <alignment vertical="center" wrapText="1"/>
    </xf>
    <xf numFmtId="3" fontId="59" fillId="0" borderId="18" xfId="0" applyNumberFormat="1" applyFont="1" applyFill="1" applyBorder="1" applyAlignment="1">
      <alignment horizontal="right" vertical="center" wrapText="1"/>
    </xf>
    <xf numFmtId="3" fontId="47" fillId="0" borderId="18" xfId="0" applyNumberFormat="1" applyFont="1" applyFill="1" applyBorder="1" applyAlignment="1">
      <alignment horizontal="right" vertical="center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58" fillId="33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73" fontId="46" fillId="0" borderId="14" xfId="0" applyNumberFormat="1" applyFont="1" applyFill="1" applyBorder="1" applyAlignment="1">
      <alignment horizontal="right"/>
    </xf>
    <xf numFmtId="173" fontId="47" fillId="0" borderId="14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 indent="2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 indent="2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horizontal="right" vertical="center"/>
    </xf>
    <xf numFmtId="3" fontId="47" fillId="0" borderId="19" xfId="0" applyNumberFormat="1" applyFont="1" applyBorder="1" applyAlignment="1">
      <alignment horizontal="right" vertical="center"/>
    </xf>
    <xf numFmtId="3" fontId="47" fillId="0" borderId="19" xfId="0" applyNumberFormat="1" applyFont="1" applyFill="1" applyBorder="1" applyAlignment="1">
      <alignment horizontal="right" vertical="center"/>
    </xf>
    <xf numFmtId="3" fontId="47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16" xfId="0" applyFont="1" applyBorder="1" applyAlignment="1">
      <alignment vertical="center" wrapText="1"/>
    </xf>
    <xf numFmtId="3" fontId="47" fillId="0" borderId="16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vertical="center" wrapText="1"/>
    </xf>
    <xf numFmtId="3" fontId="47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3" fontId="65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47" fillId="0" borderId="11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9" fontId="22" fillId="0" borderId="10" xfId="71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9" fontId="22" fillId="0" borderId="0" xfId="71" applyFont="1" applyBorder="1" applyAlignment="1">
      <alignment horizontal="right"/>
    </xf>
    <xf numFmtId="168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7" fillId="0" borderId="11" xfId="0" applyFont="1" applyFill="1" applyBorder="1" applyAlignment="1">
      <alignment/>
    </xf>
    <xf numFmtId="0" fontId="22" fillId="0" borderId="21" xfId="0" applyFont="1" applyBorder="1" applyAlignment="1">
      <alignment/>
    </xf>
    <xf numFmtId="166" fontId="22" fillId="0" borderId="21" xfId="0" applyNumberFormat="1" applyFont="1" applyBorder="1" applyAlignment="1">
      <alignment horizontal="right"/>
    </xf>
    <xf numFmtId="166" fontId="22" fillId="0" borderId="21" xfId="0" applyNumberFormat="1" applyFont="1" applyFill="1" applyBorder="1" applyAlignment="1">
      <alignment horizontal="right"/>
    </xf>
    <xf numFmtId="166" fontId="22" fillId="0" borderId="10" xfId="0" applyNumberFormat="1" applyFont="1" applyBorder="1" applyAlignment="1">
      <alignment horizontal="right"/>
    </xf>
    <xf numFmtId="166" fontId="22" fillId="0" borderId="10" xfId="0" applyNumberFormat="1" applyFont="1" applyFill="1" applyBorder="1" applyAlignment="1">
      <alignment horizontal="right"/>
    </xf>
    <xf numFmtId="3" fontId="22" fillId="0" borderId="0" xfId="71" applyNumberFormat="1" applyFont="1" applyBorder="1" applyAlignment="1">
      <alignment horizontal="right"/>
    </xf>
    <xf numFmtId="3" fontId="22" fillId="0" borderId="0" xfId="71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170" fontId="22" fillId="0" borderId="1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168" fontId="22" fillId="0" borderId="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Fill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9" fontId="69" fillId="0" borderId="0" xfId="71" applyNumberFormat="1" applyFont="1" applyFill="1" applyBorder="1" applyAlignment="1">
      <alignment horizontal="left"/>
    </xf>
    <xf numFmtId="9" fontId="69" fillId="0" borderId="0" xfId="71" applyNumberFormat="1" applyFont="1" applyFill="1" applyBorder="1" applyAlignment="1">
      <alignment horizontal="center"/>
    </xf>
    <xf numFmtId="9" fontId="69" fillId="0" borderId="0" xfId="71" applyNumberFormat="1" applyFont="1" applyBorder="1" applyAlignment="1">
      <alignment horizontal="center"/>
    </xf>
    <xf numFmtId="9" fontId="26" fillId="0" borderId="0" xfId="71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/>
    </xf>
    <xf numFmtId="9" fontId="71" fillId="0" borderId="0" xfId="71" applyNumberFormat="1" applyFont="1" applyFill="1" applyBorder="1" applyAlignment="1">
      <alignment horizontal="left"/>
    </xf>
    <xf numFmtId="9" fontId="71" fillId="0" borderId="0" xfId="71" applyNumberFormat="1" applyFont="1" applyFill="1" applyBorder="1" applyAlignment="1">
      <alignment horizontal="center"/>
    </xf>
    <xf numFmtId="9" fontId="26" fillId="0" borderId="0" xfId="71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6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49" fillId="0" borderId="0" xfId="71" applyNumberFormat="1" applyFont="1" applyBorder="1" applyAlignment="1">
      <alignment horizontal="right"/>
    </xf>
    <xf numFmtId="3" fontId="49" fillId="0" borderId="0" xfId="71" applyNumberFormat="1" applyFont="1" applyFill="1" applyBorder="1" applyAlignment="1">
      <alignment horizontal="right"/>
    </xf>
    <xf numFmtId="3" fontId="51" fillId="0" borderId="0" xfId="71" applyNumberFormat="1" applyFont="1" applyBorder="1" applyAlignment="1">
      <alignment horizontal="right"/>
    </xf>
    <xf numFmtId="9" fontId="73" fillId="0" borderId="0" xfId="71" applyFont="1" applyFill="1" applyAlignment="1">
      <alignment/>
    </xf>
    <xf numFmtId="0" fontId="73" fillId="0" borderId="0" xfId="0" applyFont="1" applyAlignment="1">
      <alignment/>
    </xf>
    <xf numFmtId="0" fontId="22" fillId="0" borderId="0" xfId="0" applyFont="1" applyBorder="1" applyAlignment="1">
      <alignment horizontal="left" indent="3"/>
    </xf>
    <xf numFmtId="0" fontId="73" fillId="0" borderId="0" xfId="0" applyFont="1" applyFill="1" applyAlignment="1">
      <alignment/>
    </xf>
    <xf numFmtId="9" fontId="52" fillId="0" borderId="10" xfId="71" applyNumberFormat="1" applyFont="1" applyFill="1" applyBorder="1" applyAlignment="1">
      <alignment horizontal="right"/>
    </xf>
    <xf numFmtId="0" fontId="44" fillId="34" borderId="0" xfId="0" applyFont="1" applyFill="1" applyAlignment="1">
      <alignment/>
    </xf>
    <xf numFmtId="3" fontId="48" fillId="0" borderId="0" xfId="71" applyNumberFormat="1" applyFont="1" applyBorder="1" applyAlignment="1">
      <alignment horizontal="right"/>
    </xf>
    <xf numFmtId="3" fontId="48" fillId="0" borderId="0" xfId="71" applyNumberFormat="1" applyFont="1" applyFill="1" applyBorder="1" applyAlignment="1">
      <alignment horizontal="right"/>
    </xf>
    <xf numFmtId="9" fontId="22" fillId="0" borderId="0" xfId="71" applyFont="1" applyFill="1" applyBorder="1" applyAlignment="1">
      <alignment horizontal="right"/>
    </xf>
    <xf numFmtId="3" fontId="54" fillId="0" borderId="0" xfId="71" applyNumberFormat="1" applyFont="1" applyBorder="1" applyAlignment="1">
      <alignment horizontal="right"/>
    </xf>
    <xf numFmtId="3" fontId="54" fillId="0" borderId="0" xfId="71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9" fontId="23" fillId="0" borderId="0" xfId="7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9" fontId="23" fillId="0" borderId="0" xfId="71" applyNumberFormat="1" applyFont="1" applyFill="1" applyBorder="1" applyAlignment="1">
      <alignment horizontal="center"/>
    </xf>
    <xf numFmtId="9" fontId="23" fillId="0" borderId="0" xfId="71" applyNumberFormat="1" applyFont="1" applyBorder="1" applyAlignment="1">
      <alignment horizontal="center"/>
    </xf>
    <xf numFmtId="9" fontId="23" fillId="0" borderId="0" xfId="71" applyNumberFormat="1" applyFont="1" applyFill="1" applyBorder="1" applyAlignment="1">
      <alignment horizontal="left"/>
    </xf>
    <xf numFmtId="9" fontId="52" fillId="0" borderId="0" xfId="71" applyNumberFormat="1" applyFont="1" applyBorder="1" applyAlignment="1">
      <alignment horizontal="center"/>
    </xf>
    <xf numFmtId="9" fontId="52" fillId="0" borderId="0" xfId="71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9" fontId="49" fillId="0" borderId="0" xfId="71" applyFont="1" applyFill="1" applyBorder="1" applyAlignment="1">
      <alignment horizontal="right"/>
    </xf>
    <xf numFmtId="3" fontId="51" fillId="0" borderId="0" xfId="71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23" fillId="0" borderId="0" xfId="71" applyNumberFormat="1" applyFont="1" applyFill="1" applyBorder="1" applyAlignment="1">
      <alignment horizontal="right"/>
    </xf>
    <xf numFmtId="3" fontId="52" fillId="0" borderId="0" xfId="71" applyNumberFormat="1" applyFont="1" applyFill="1" applyBorder="1" applyAlignment="1">
      <alignment horizontal="right"/>
    </xf>
    <xf numFmtId="3" fontId="23" fillId="0" borderId="0" xfId="71" applyNumberFormat="1" applyFont="1" applyBorder="1" applyAlignment="1">
      <alignment horizontal="right"/>
    </xf>
    <xf numFmtId="3" fontId="52" fillId="0" borderId="0" xfId="71" applyNumberFormat="1" applyFont="1" applyBorder="1" applyAlignment="1">
      <alignment horizontal="right"/>
    </xf>
    <xf numFmtId="3" fontId="26" fillId="0" borderId="0" xfId="71" applyNumberFormat="1" applyFont="1" applyBorder="1" applyAlignment="1">
      <alignment horizontal="right"/>
    </xf>
    <xf numFmtId="3" fontId="26" fillId="0" borderId="0" xfId="71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0" fontId="0" fillId="35" borderId="0" xfId="53" applyFill="1">
      <alignment/>
      <protection/>
    </xf>
    <xf numFmtId="0" fontId="0" fillId="36" borderId="0" xfId="53" applyFill="1">
      <alignment/>
      <protection/>
    </xf>
    <xf numFmtId="0" fontId="101" fillId="36" borderId="0" xfId="53" applyFont="1" applyFill="1">
      <alignment/>
      <protection/>
    </xf>
    <xf numFmtId="0" fontId="102" fillId="36" borderId="0" xfId="53" applyFont="1" applyFill="1">
      <alignment/>
      <protection/>
    </xf>
    <xf numFmtId="0" fontId="44" fillId="36" borderId="0" xfId="53" applyFont="1" applyFill="1">
      <alignment/>
      <protection/>
    </xf>
    <xf numFmtId="0" fontId="0" fillId="14" borderId="0" xfId="53" applyFill="1">
      <alignment/>
      <protection/>
    </xf>
    <xf numFmtId="0" fontId="0" fillId="35" borderId="0" xfId="53" applyFont="1" applyFill="1">
      <alignment/>
      <protection/>
    </xf>
    <xf numFmtId="49" fontId="0" fillId="35" borderId="0" xfId="53" applyNumberFormat="1" applyFont="1" applyFill="1">
      <alignment/>
      <protection/>
    </xf>
    <xf numFmtId="3" fontId="5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170" fontId="22" fillId="0" borderId="10" xfId="0" applyNumberFormat="1" applyFont="1" applyFill="1" applyBorder="1" applyAlignment="1">
      <alignment horizontal="right"/>
    </xf>
    <xf numFmtId="9" fontId="22" fillId="0" borderId="0" xfId="71" applyFont="1" applyAlignment="1">
      <alignment horizontal="right"/>
    </xf>
    <xf numFmtId="0" fontId="46" fillId="0" borderId="0" xfId="0" applyFont="1" applyBorder="1" applyAlignment="1">
      <alignment horizontal="right"/>
    </xf>
    <xf numFmtId="177" fontId="22" fillId="0" borderId="1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14" fontId="77" fillId="33" borderId="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Обычный_P&amp;L 2003-2006" xfId="66"/>
    <cellStyle name="Обычный_Копия Копия ВАЖНО Конс_бюджет!!!" xfId="67"/>
    <cellStyle name="Плохой" xfId="68"/>
    <cellStyle name="Пояснение" xfId="69"/>
    <cellStyle name="Примечание" xfId="70"/>
    <cellStyle name="Percent" xfId="71"/>
    <cellStyle name="Процентный 2 10" xfId="72"/>
    <cellStyle name="Процентный 2 11" xfId="73"/>
    <cellStyle name="Процентный 2 12" xfId="74"/>
    <cellStyle name="Процентный 2 2" xfId="75"/>
    <cellStyle name="Процентный 2 3" xfId="76"/>
    <cellStyle name="Процентный 2 4" xfId="77"/>
    <cellStyle name="Процентный 2 5" xfId="78"/>
    <cellStyle name="Процентный 2 6" xfId="79"/>
    <cellStyle name="Процентный 2 7" xfId="80"/>
    <cellStyle name="Процентный 2 8" xfId="81"/>
    <cellStyle name="Процентный 2 9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 10" xfId="87"/>
    <cellStyle name="Финансовый 2 11" xfId="88"/>
    <cellStyle name="Финансовый 2 12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6767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2" width="9.140625" style="386" customWidth="1"/>
    <col min="3" max="3" width="12.00390625" style="386" bestFit="1" customWidth="1"/>
    <col min="4" max="16384" width="9.140625" style="386" customWidth="1"/>
  </cols>
  <sheetData>
    <row r="4" s="387" customFormat="1" ht="12.75"/>
    <row r="5" s="387" customFormat="1" ht="12.75"/>
    <row r="6" spans="4:8" s="387" customFormat="1" ht="21">
      <c r="D6" s="388" t="s">
        <v>238</v>
      </c>
      <c r="E6" s="389"/>
      <c r="F6" s="389"/>
      <c r="G6" s="389"/>
      <c r="H6" s="389"/>
    </row>
    <row r="7" spans="4:8" s="387" customFormat="1" ht="12.75">
      <c r="D7" s="389"/>
      <c r="E7" s="389"/>
      <c r="F7" s="389"/>
      <c r="G7" s="389"/>
      <c r="H7" s="389"/>
    </row>
    <row r="8" spans="4:8" s="387" customFormat="1" ht="12.75">
      <c r="D8" s="389" t="s">
        <v>239</v>
      </c>
      <c r="E8" s="389"/>
      <c r="F8" s="389"/>
      <c r="G8" s="389"/>
      <c r="H8" s="389"/>
    </row>
    <row r="9" spans="4:8" s="387" customFormat="1" ht="12.75">
      <c r="D9" s="390"/>
      <c r="E9" s="390"/>
      <c r="F9" s="390"/>
      <c r="G9" s="390"/>
      <c r="H9" s="390"/>
    </row>
    <row r="10" spans="4:8" s="387" customFormat="1" ht="12.75">
      <c r="D10" s="389" t="s">
        <v>255</v>
      </c>
      <c r="E10" s="390"/>
      <c r="F10" s="390"/>
      <c r="G10" s="390"/>
      <c r="H10" s="390"/>
    </row>
    <row r="11" s="387" customFormat="1" ht="12.75"/>
    <row r="12" s="387" customFormat="1" ht="12.75"/>
    <row r="13" s="391" customFormat="1" ht="12.75"/>
    <row r="14" ht="12.75">
      <c r="C14" s="392"/>
    </row>
    <row r="15" ht="12.75">
      <c r="C15" s="392"/>
    </row>
    <row r="16" ht="12.75">
      <c r="C16" s="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showGridLines="0" view="pageBreakPreview" zoomScaleNormal="85" zoomScaleSheetLayoutView="100" zoomScalePageLayoutView="0" workbookViewId="0" topLeftCell="A1">
      <pane xSplit="1" ySplit="3" topLeftCell="U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3" sqref="W53:X54"/>
    </sheetView>
  </sheetViews>
  <sheetFormatPr defaultColWidth="9.140625" defaultRowHeight="12.75" outlineLevelRow="1" outlineLevelCol="1"/>
  <cols>
    <col min="1" max="1" width="37.57421875" style="178" customWidth="1"/>
    <col min="2" max="2" width="9.140625" style="156" hidden="1" customWidth="1" outlineLevel="1"/>
    <col min="3" max="3" width="9.8515625" style="156" hidden="1" customWidth="1" outlineLevel="1"/>
    <col min="4" max="4" width="9.7109375" style="156" hidden="1" customWidth="1" outlineLevel="1"/>
    <col min="5" max="5" width="8.421875" style="156" hidden="1" customWidth="1" outlineLevel="1"/>
    <col min="6" max="6" width="7.7109375" style="156" hidden="1" customWidth="1" outlineLevel="1"/>
    <col min="7" max="7" width="8.8515625" style="81" hidden="1" customWidth="1" outlineLevel="1"/>
    <col min="8" max="9" width="9.00390625" style="81" hidden="1" customWidth="1" outlineLevel="1"/>
    <col min="10" max="10" width="9.00390625" style="156" hidden="1" customWidth="1" outlineLevel="1"/>
    <col min="11" max="11" width="8.8515625" style="156" hidden="1" customWidth="1" outlineLevel="1"/>
    <col min="12" max="12" width="9.57421875" style="283" hidden="1" customWidth="1" outlineLevel="1"/>
    <col min="13" max="13" width="9.7109375" style="283" customWidth="1" collapsed="1"/>
    <col min="14" max="24" width="11.28125" style="156" customWidth="1"/>
    <col min="25" max="25" width="6.421875" style="156" customWidth="1"/>
    <col min="26" max="28" width="11.28125" style="81" customWidth="1"/>
    <col min="29" max="30" width="10.140625" style="81" customWidth="1"/>
    <col min="31" max="16384" width="9.140625" style="81" customWidth="1"/>
  </cols>
  <sheetData>
    <row r="1" spans="1:26" ht="15.75">
      <c r="A1" s="246"/>
      <c r="B1" s="246"/>
      <c r="C1" s="402"/>
      <c r="D1" s="247"/>
      <c r="E1" s="402"/>
      <c r="F1" s="247"/>
      <c r="G1" s="402"/>
      <c r="H1" s="247"/>
      <c r="I1" s="402"/>
      <c r="J1" s="247"/>
      <c r="K1" s="247"/>
      <c r="L1" s="248"/>
      <c r="M1" s="248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140"/>
    </row>
    <row r="2" spans="1:26" s="178" customFormat="1" ht="12" customHeight="1" thickBot="1">
      <c r="A2" s="249" t="s">
        <v>170</v>
      </c>
      <c r="B2" s="250"/>
      <c r="C2" s="403"/>
      <c r="D2" s="251"/>
      <c r="E2" s="403"/>
      <c r="F2" s="251"/>
      <c r="G2" s="403"/>
      <c r="H2" s="251"/>
      <c r="I2" s="403"/>
      <c r="J2" s="251"/>
      <c r="K2" s="251"/>
      <c r="L2" s="252"/>
      <c r="M2" s="252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89"/>
    </row>
    <row r="3" spans="1:30" s="178" customFormat="1" ht="12" thickBot="1">
      <c r="A3" s="251" t="s">
        <v>111</v>
      </c>
      <c r="B3" s="253">
        <v>38807</v>
      </c>
      <c r="C3" s="253">
        <v>38898</v>
      </c>
      <c r="D3" s="253">
        <v>38990</v>
      </c>
      <c r="E3" s="253">
        <v>39082</v>
      </c>
      <c r="F3" s="253">
        <v>39172</v>
      </c>
      <c r="G3" s="253">
        <v>39263</v>
      </c>
      <c r="H3" s="253">
        <v>39355</v>
      </c>
      <c r="I3" s="253">
        <v>39447</v>
      </c>
      <c r="J3" s="254">
        <v>39538</v>
      </c>
      <c r="K3" s="254">
        <v>39629</v>
      </c>
      <c r="L3" s="254">
        <v>39721</v>
      </c>
      <c r="M3" s="254">
        <v>39813</v>
      </c>
      <c r="N3" s="254">
        <v>39903</v>
      </c>
      <c r="O3" s="254">
        <v>39994</v>
      </c>
      <c r="P3" s="254">
        <v>40086</v>
      </c>
      <c r="Q3" s="254">
        <v>40178</v>
      </c>
      <c r="R3" s="254">
        <v>40268</v>
      </c>
      <c r="S3" s="254">
        <v>40359</v>
      </c>
      <c r="T3" s="254">
        <v>40451</v>
      </c>
      <c r="U3" s="254">
        <v>40543</v>
      </c>
      <c r="V3" s="254">
        <v>40633</v>
      </c>
      <c r="W3" s="254">
        <v>40724</v>
      </c>
      <c r="X3" s="254">
        <v>40816</v>
      </c>
      <c r="Y3" s="254"/>
      <c r="Z3" s="253">
        <v>39082</v>
      </c>
      <c r="AA3" s="253" t="s">
        <v>165</v>
      </c>
      <c r="AB3" s="253" t="s">
        <v>195</v>
      </c>
      <c r="AC3" s="253" t="s">
        <v>218</v>
      </c>
      <c r="AD3" s="253" t="s">
        <v>249</v>
      </c>
    </row>
    <row r="4" spans="1:30" s="178" customFormat="1" ht="11.25">
      <c r="A4" s="255" t="s">
        <v>112</v>
      </c>
      <c r="B4" s="256">
        <v>3864609</v>
      </c>
      <c r="C4" s="256">
        <v>3287409</v>
      </c>
      <c r="D4" s="256">
        <v>3555670</v>
      </c>
      <c r="E4" s="256">
        <v>3049600</v>
      </c>
      <c r="F4" s="256">
        <v>3483971</v>
      </c>
      <c r="G4" s="256">
        <v>3628552</v>
      </c>
      <c r="H4" s="256">
        <v>3903819</v>
      </c>
      <c r="I4" s="256">
        <v>4388178</v>
      </c>
      <c r="J4" s="256">
        <v>5094285</v>
      </c>
      <c r="K4" s="256">
        <v>5248871</v>
      </c>
      <c r="L4" s="256">
        <v>6702226</v>
      </c>
      <c r="M4" s="256">
        <v>5346079</v>
      </c>
      <c r="N4" s="256">
        <v>4271170</v>
      </c>
      <c r="O4" s="256">
        <v>4161055</v>
      </c>
      <c r="P4" s="256">
        <v>3853755</v>
      </c>
      <c r="Q4" s="256">
        <v>3876746</v>
      </c>
      <c r="R4" s="256">
        <v>4091054</v>
      </c>
      <c r="S4" s="256">
        <v>4150214</v>
      </c>
      <c r="T4" s="256">
        <v>4372272</v>
      </c>
      <c r="U4" s="256">
        <v>4105349</v>
      </c>
      <c r="V4" s="256">
        <v>4437647</v>
      </c>
      <c r="W4" s="256">
        <v>4810908</v>
      </c>
      <c r="X4" s="256">
        <v>5644099</v>
      </c>
      <c r="Y4" s="256"/>
      <c r="Z4" s="256">
        <v>3049600</v>
      </c>
      <c r="AA4" s="256">
        <v>4388178</v>
      </c>
      <c r="AB4" s="256">
        <v>5346079</v>
      </c>
      <c r="AC4" s="256">
        <f>Q4</f>
        <v>3876746</v>
      </c>
      <c r="AD4" s="256">
        <f>U4</f>
        <v>4105349</v>
      </c>
    </row>
    <row r="5" spans="1:30" s="191" customFormat="1" ht="11.25">
      <c r="A5" s="257" t="s">
        <v>113</v>
      </c>
      <c r="B5" s="258">
        <v>2271264</v>
      </c>
      <c r="C5" s="258">
        <v>1385593</v>
      </c>
      <c r="D5" s="258">
        <v>1342436</v>
      </c>
      <c r="E5" s="258">
        <v>665213</v>
      </c>
      <c r="F5" s="258">
        <v>898309</v>
      </c>
      <c r="G5" s="258">
        <v>1348556</v>
      </c>
      <c r="H5" s="258">
        <v>1388468</v>
      </c>
      <c r="I5" s="258">
        <v>1154641</v>
      </c>
      <c r="J5" s="258">
        <v>1181374</v>
      </c>
      <c r="K5" s="258">
        <v>1325342</v>
      </c>
      <c r="L5" s="259">
        <v>2735428</v>
      </c>
      <c r="M5" s="259">
        <v>2159989</v>
      </c>
      <c r="N5" s="258">
        <v>1546145</v>
      </c>
      <c r="O5" s="258">
        <v>1590511</v>
      </c>
      <c r="P5" s="258">
        <v>1641568</v>
      </c>
      <c r="Q5" s="258">
        <v>1247048</v>
      </c>
      <c r="R5" s="258">
        <v>1157305</v>
      </c>
      <c r="S5" s="258">
        <v>953185</v>
      </c>
      <c r="T5" s="258">
        <v>779931</v>
      </c>
      <c r="U5" s="258">
        <v>747979</v>
      </c>
      <c r="V5" s="258">
        <v>977350</v>
      </c>
      <c r="W5" s="258">
        <v>911435</v>
      </c>
      <c r="X5" s="258">
        <v>830031</v>
      </c>
      <c r="Y5" s="258"/>
      <c r="Z5" s="258">
        <v>665213</v>
      </c>
      <c r="AA5" s="258">
        <v>1154641</v>
      </c>
      <c r="AB5" s="258">
        <v>2159989</v>
      </c>
      <c r="AC5" s="258">
        <f aca="true" t="shared" si="0" ref="AC5:AC54">Q5</f>
        <v>1247048</v>
      </c>
      <c r="AD5" s="258">
        <f aca="true" t="shared" si="1" ref="AD5:AD54">U5</f>
        <v>747979</v>
      </c>
    </row>
    <row r="6" spans="1:30" s="191" customFormat="1" ht="11.25">
      <c r="A6" s="257" t="s">
        <v>114</v>
      </c>
      <c r="B6" s="258">
        <v>22892</v>
      </c>
      <c r="C6" s="258">
        <v>20786</v>
      </c>
      <c r="D6" s="258">
        <v>53262</v>
      </c>
      <c r="E6" s="258">
        <v>37261</v>
      </c>
      <c r="F6" s="258">
        <v>36672</v>
      </c>
      <c r="G6" s="258">
        <v>136710</v>
      </c>
      <c r="H6" s="258">
        <v>144407</v>
      </c>
      <c r="I6" s="258">
        <v>153462</v>
      </c>
      <c r="J6" s="258">
        <v>176863</v>
      </c>
      <c r="K6" s="258">
        <v>180813</v>
      </c>
      <c r="L6" s="259">
        <v>14089</v>
      </c>
      <c r="M6" s="259">
        <v>8089</v>
      </c>
      <c r="N6" s="258">
        <v>338301</v>
      </c>
      <c r="O6" s="258">
        <v>467342</v>
      </c>
      <c r="P6" s="258">
        <v>126465</v>
      </c>
      <c r="Q6" s="258">
        <v>451910</v>
      </c>
      <c r="R6" s="258">
        <v>424221</v>
      </c>
      <c r="S6" s="258">
        <v>464933</v>
      </c>
      <c r="T6" s="258">
        <v>725649</v>
      </c>
      <c r="U6" s="258">
        <v>422643</v>
      </c>
      <c r="V6" s="258">
        <v>265312</v>
      </c>
      <c r="W6" s="258">
        <v>202048</v>
      </c>
      <c r="X6" s="258">
        <v>58853</v>
      </c>
      <c r="Y6" s="258"/>
      <c r="Z6" s="258">
        <v>37261</v>
      </c>
      <c r="AA6" s="258">
        <v>153462</v>
      </c>
      <c r="AB6" s="258">
        <v>8089</v>
      </c>
      <c r="AC6" s="258">
        <f t="shared" si="0"/>
        <v>451910</v>
      </c>
      <c r="AD6" s="258">
        <f t="shared" si="1"/>
        <v>422643</v>
      </c>
    </row>
    <row r="7" spans="1:30" s="191" customFormat="1" ht="11.25">
      <c r="A7" s="257" t="s">
        <v>115</v>
      </c>
      <c r="B7" s="258">
        <v>763653</v>
      </c>
      <c r="C7" s="258">
        <v>966059</v>
      </c>
      <c r="D7" s="258">
        <v>1100058</v>
      </c>
      <c r="E7" s="258">
        <v>1150492</v>
      </c>
      <c r="F7" s="258">
        <v>1251869</v>
      </c>
      <c r="G7" s="258">
        <v>1110116</v>
      </c>
      <c r="H7" s="258">
        <v>1194199</v>
      </c>
      <c r="I7" s="258">
        <v>1696451</v>
      </c>
      <c r="J7" s="258">
        <v>2039857</v>
      </c>
      <c r="K7" s="258">
        <v>1822499</v>
      </c>
      <c r="L7" s="259">
        <v>1779496</v>
      </c>
      <c r="M7" s="259">
        <v>1487847</v>
      </c>
      <c r="N7" s="258">
        <v>1187166</v>
      </c>
      <c r="O7" s="258">
        <v>882295</v>
      </c>
      <c r="P7" s="258">
        <v>907612</v>
      </c>
      <c r="Q7" s="258">
        <v>913192</v>
      </c>
      <c r="R7" s="258">
        <v>1064812</v>
      </c>
      <c r="S7" s="258">
        <v>1213487</v>
      </c>
      <c r="T7" s="258">
        <v>1188805</v>
      </c>
      <c r="U7" s="258">
        <v>1259596</v>
      </c>
      <c r="V7" s="258">
        <v>1294869</v>
      </c>
      <c r="W7" s="258">
        <v>1668670</v>
      </c>
      <c r="X7" s="258">
        <v>1693607</v>
      </c>
      <c r="Y7" s="258"/>
      <c r="Z7" s="258">
        <v>1150492</v>
      </c>
      <c r="AA7" s="258">
        <v>1696451</v>
      </c>
      <c r="AB7" s="258">
        <v>1487847</v>
      </c>
      <c r="AC7" s="258">
        <f t="shared" si="0"/>
        <v>913192</v>
      </c>
      <c r="AD7" s="258">
        <f t="shared" si="1"/>
        <v>1259596</v>
      </c>
    </row>
    <row r="8" spans="1:30" s="191" customFormat="1" ht="11.25">
      <c r="A8" s="257" t="s">
        <v>116</v>
      </c>
      <c r="B8" s="258">
        <v>560685</v>
      </c>
      <c r="C8" s="258">
        <v>643027</v>
      </c>
      <c r="D8" s="258">
        <v>750637</v>
      </c>
      <c r="E8" s="258">
        <v>856940</v>
      </c>
      <c r="F8" s="258">
        <v>873728</v>
      </c>
      <c r="G8" s="258">
        <v>936248</v>
      </c>
      <c r="H8" s="258">
        <v>1042745</v>
      </c>
      <c r="I8" s="258">
        <v>1236433</v>
      </c>
      <c r="J8" s="258">
        <v>1527368</v>
      </c>
      <c r="K8" s="258">
        <v>1735205</v>
      </c>
      <c r="L8" s="259">
        <v>2033011</v>
      </c>
      <c r="M8" s="259">
        <v>1555762</v>
      </c>
      <c r="N8" s="258">
        <v>1050121</v>
      </c>
      <c r="O8" s="258">
        <v>1031256</v>
      </c>
      <c r="P8" s="258">
        <v>1052255</v>
      </c>
      <c r="Q8" s="258">
        <v>1134095</v>
      </c>
      <c r="R8" s="258">
        <v>1324455</v>
      </c>
      <c r="S8" s="258">
        <v>1401348</v>
      </c>
      <c r="T8" s="258">
        <v>1563896</v>
      </c>
      <c r="U8" s="258">
        <v>1580068</v>
      </c>
      <c r="V8" s="258">
        <v>1784383</v>
      </c>
      <c r="W8" s="258">
        <v>1923015</v>
      </c>
      <c r="X8" s="258">
        <v>2939463</v>
      </c>
      <c r="Y8" s="258"/>
      <c r="Z8" s="258">
        <v>856940</v>
      </c>
      <c r="AA8" s="258">
        <v>1236433</v>
      </c>
      <c r="AB8" s="258">
        <v>1555762</v>
      </c>
      <c r="AC8" s="258">
        <f t="shared" si="0"/>
        <v>1134095</v>
      </c>
      <c r="AD8" s="258">
        <f t="shared" si="1"/>
        <v>1580068</v>
      </c>
    </row>
    <row r="9" spans="1:30" s="178" customFormat="1" ht="11.25">
      <c r="A9" s="257" t="s">
        <v>117</v>
      </c>
      <c r="B9" s="258">
        <v>237941</v>
      </c>
      <c r="C9" s="258">
        <v>263037</v>
      </c>
      <c r="D9" s="258">
        <v>299132</v>
      </c>
      <c r="E9" s="258">
        <v>331322</v>
      </c>
      <c r="F9" s="258">
        <v>369780</v>
      </c>
      <c r="G9" s="258">
        <v>96922</v>
      </c>
      <c r="H9" s="258">
        <v>134000</v>
      </c>
      <c r="I9" s="258">
        <v>147191</v>
      </c>
      <c r="J9" s="258">
        <v>168823</v>
      </c>
      <c r="K9" s="258">
        <v>172223</v>
      </c>
      <c r="L9" s="259">
        <v>129111</v>
      </c>
      <c r="M9" s="259">
        <v>99960</v>
      </c>
      <c r="N9" s="258">
        <v>90417</v>
      </c>
      <c r="O9" s="258">
        <v>94233</v>
      </c>
      <c r="P9" s="258">
        <v>92768</v>
      </c>
      <c r="Q9" s="258">
        <v>58034</v>
      </c>
      <c r="R9" s="258">
        <v>61517</v>
      </c>
      <c r="S9" s="258">
        <v>59101</v>
      </c>
      <c r="T9" s="258">
        <v>62015</v>
      </c>
      <c r="U9" s="258">
        <v>51994</v>
      </c>
      <c r="V9" s="258">
        <v>64590</v>
      </c>
      <c r="W9" s="258">
        <v>61597</v>
      </c>
      <c r="X9" s="258">
        <v>69132</v>
      </c>
      <c r="Y9" s="258"/>
      <c r="Z9" s="258">
        <v>331322</v>
      </c>
      <c r="AA9" s="258">
        <v>147191</v>
      </c>
      <c r="AB9" s="258">
        <v>99960</v>
      </c>
      <c r="AC9" s="258">
        <f t="shared" si="0"/>
        <v>58034</v>
      </c>
      <c r="AD9" s="258">
        <f t="shared" si="1"/>
        <v>51994</v>
      </c>
    </row>
    <row r="10" spans="1:30" s="178" customFormat="1" ht="11.25">
      <c r="A10" s="260" t="s">
        <v>118</v>
      </c>
      <c r="B10" s="259">
        <v>8174</v>
      </c>
      <c r="C10" s="259">
        <v>8907</v>
      </c>
      <c r="D10" s="259">
        <v>10145</v>
      </c>
      <c r="E10" s="259">
        <v>8372</v>
      </c>
      <c r="F10" s="259">
        <v>9249</v>
      </c>
      <c r="G10" s="259"/>
      <c r="H10" s="259"/>
      <c r="I10" s="259"/>
      <c r="J10" s="259"/>
      <c r="K10" s="259">
        <v>12789</v>
      </c>
      <c r="L10" s="259">
        <v>11091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>
        <v>8372</v>
      </c>
      <c r="AA10" s="259"/>
      <c r="AB10" s="259"/>
      <c r="AC10" s="259"/>
      <c r="AD10" s="259"/>
    </row>
    <row r="11" spans="1:30" s="178" customFormat="1" ht="11.25">
      <c r="A11" s="260" t="s">
        <v>204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1">
        <v>59020</v>
      </c>
      <c r="O11" s="261">
        <v>95418</v>
      </c>
      <c r="P11" s="259">
        <v>33087</v>
      </c>
      <c r="Q11" s="259">
        <v>72467</v>
      </c>
      <c r="R11" s="259">
        <v>58744</v>
      </c>
      <c r="S11" s="259">
        <v>58160</v>
      </c>
      <c r="T11" s="259">
        <v>51976</v>
      </c>
      <c r="U11" s="259">
        <v>43069</v>
      </c>
      <c r="V11" s="259">
        <v>51143</v>
      </c>
      <c r="W11" s="259">
        <v>44143</v>
      </c>
      <c r="X11" s="259">
        <v>53013</v>
      </c>
      <c r="Y11" s="259"/>
      <c r="Z11" s="259"/>
      <c r="AA11" s="259"/>
      <c r="AB11" s="259"/>
      <c r="AC11" s="259">
        <f t="shared" si="0"/>
        <v>72467</v>
      </c>
      <c r="AD11" s="259">
        <f t="shared" si="1"/>
        <v>43069</v>
      </c>
    </row>
    <row r="12" spans="1:30" s="178" customFormat="1" ht="11.25">
      <c r="A12" s="257" t="s">
        <v>119</v>
      </c>
      <c r="B12" s="258"/>
      <c r="C12" s="258"/>
      <c r="D12" s="258"/>
      <c r="E12" s="258"/>
      <c r="F12" s="258">
        <v>44364</v>
      </c>
      <c r="G12" s="258"/>
      <c r="H12" s="258"/>
      <c r="I12" s="258"/>
      <c r="J12" s="258"/>
      <c r="K12" s="258"/>
      <c r="L12" s="259"/>
      <c r="M12" s="259">
        <v>34432</v>
      </c>
      <c r="N12" s="259"/>
      <c r="O12" s="259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>
        <v>34432</v>
      </c>
      <c r="AC12" s="258"/>
      <c r="AD12" s="258"/>
    </row>
    <row r="13" spans="1:30" s="207" customFormat="1" ht="11.25">
      <c r="A13" s="26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</row>
    <row r="14" spans="1:30" s="211" customFormat="1" ht="11.25">
      <c r="A14" s="263" t="s">
        <v>120</v>
      </c>
      <c r="B14" s="264">
        <v>2960430</v>
      </c>
      <c r="C14" s="264">
        <v>4086758</v>
      </c>
      <c r="D14" s="264">
        <v>4734423</v>
      </c>
      <c r="E14" s="264">
        <v>5667390</v>
      </c>
      <c r="F14" s="264">
        <v>5820576</v>
      </c>
      <c r="G14" s="264">
        <v>5782964</v>
      </c>
      <c r="H14" s="264">
        <v>6105316</v>
      </c>
      <c r="I14" s="264">
        <v>8687764</v>
      </c>
      <c r="J14" s="264">
        <v>9318349</v>
      </c>
      <c r="K14" s="264">
        <v>9863550</v>
      </c>
      <c r="L14" s="264">
        <v>9816489</v>
      </c>
      <c r="M14" s="264">
        <v>8718449</v>
      </c>
      <c r="N14" s="264">
        <v>7526035</v>
      </c>
      <c r="O14" s="264">
        <v>8178392</v>
      </c>
      <c r="P14" s="264">
        <v>8596391</v>
      </c>
      <c r="Q14" s="264">
        <v>8625198</v>
      </c>
      <c r="R14" s="264">
        <v>8937930</v>
      </c>
      <c r="S14" s="264">
        <v>8712877</v>
      </c>
      <c r="T14" s="264">
        <v>9507938</v>
      </c>
      <c r="U14" s="264">
        <v>9793676</v>
      </c>
      <c r="V14" s="264">
        <v>10712834</v>
      </c>
      <c r="W14" s="264">
        <v>11139627</v>
      </c>
      <c r="X14" s="264">
        <v>11440015</v>
      </c>
      <c r="Y14" s="264"/>
      <c r="Z14" s="264">
        <v>5667390</v>
      </c>
      <c r="AA14" s="264">
        <v>8687764</v>
      </c>
      <c r="AB14" s="264">
        <v>8718449</v>
      </c>
      <c r="AC14" s="264">
        <f t="shared" si="0"/>
        <v>8625198</v>
      </c>
      <c r="AD14" s="264">
        <f t="shared" si="1"/>
        <v>9793676</v>
      </c>
    </row>
    <row r="15" spans="1:30" s="211" customFormat="1" ht="11.25">
      <c r="A15" s="257" t="s">
        <v>121</v>
      </c>
      <c r="B15" s="258">
        <v>33775</v>
      </c>
      <c r="C15" s="258">
        <v>6799</v>
      </c>
      <c r="D15" s="258">
        <v>5379</v>
      </c>
      <c r="E15" s="258">
        <v>810350</v>
      </c>
      <c r="F15" s="258">
        <v>855667</v>
      </c>
      <c r="G15" s="258">
        <v>860958</v>
      </c>
      <c r="H15" s="258">
        <v>880077</v>
      </c>
      <c r="I15" s="258">
        <v>818590</v>
      </c>
      <c r="J15" s="258">
        <v>863541</v>
      </c>
      <c r="K15" s="258">
        <v>893998</v>
      </c>
      <c r="L15" s="259">
        <v>1022437</v>
      </c>
      <c r="M15" s="259">
        <v>815527</v>
      </c>
      <c r="N15" s="258">
        <v>718793</v>
      </c>
      <c r="O15" s="258">
        <v>748477</v>
      </c>
      <c r="P15" s="258">
        <v>720283</v>
      </c>
      <c r="Q15" s="258">
        <v>468236</v>
      </c>
      <c r="R15" s="258">
        <v>401727</v>
      </c>
      <c r="S15" s="258">
        <v>386550</v>
      </c>
      <c r="T15" s="258">
        <v>729274</v>
      </c>
      <c r="U15" s="258">
        <v>687665</v>
      </c>
      <c r="V15" s="258">
        <v>727897</v>
      </c>
      <c r="W15" s="258">
        <v>932375</v>
      </c>
      <c r="X15" s="258">
        <v>8523</v>
      </c>
      <c r="Y15" s="258"/>
      <c r="Z15" s="258">
        <v>810350</v>
      </c>
      <c r="AA15" s="258">
        <v>818590</v>
      </c>
      <c r="AB15" s="258">
        <v>815527</v>
      </c>
      <c r="AC15" s="258">
        <f t="shared" si="0"/>
        <v>468236</v>
      </c>
      <c r="AD15" s="258">
        <f t="shared" si="1"/>
        <v>687665</v>
      </c>
    </row>
    <row r="16" spans="1:30" s="211" customFormat="1" ht="11.25">
      <c r="A16" s="257" t="s">
        <v>122</v>
      </c>
      <c r="B16" s="258">
        <v>2586216</v>
      </c>
      <c r="C16" s="258">
        <v>3340863</v>
      </c>
      <c r="D16" s="258">
        <v>3770049</v>
      </c>
      <c r="E16" s="258">
        <v>3988128</v>
      </c>
      <c r="F16" s="258">
        <v>3984585</v>
      </c>
      <c r="G16" s="258">
        <v>4128397</v>
      </c>
      <c r="H16" s="258">
        <v>4409144</v>
      </c>
      <c r="I16" s="258">
        <v>6449877</v>
      </c>
      <c r="J16" s="258">
        <v>6969404</v>
      </c>
      <c r="K16" s="258">
        <v>7347584</v>
      </c>
      <c r="L16" s="259">
        <v>7304906</v>
      </c>
      <c r="M16" s="259">
        <v>6826139</v>
      </c>
      <c r="N16" s="258">
        <v>6031938</v>
      </c>
      <c r="O16" s="258">
        <v>6611587</v>
      </c>
      <c r="P16" s="258">
        <v>7025656</v>
      </c>
      <c r="Q16" s="258">
        <v>7316180</v>
      </c>
      <c r="R16" s="258">
        <v>7687965</v>
      </c>
      <c r="S16" s="258">
        <v>7532176</v>
      </c>
      <c r="T16" s="258">
        <v>7986898</v>
      </c>
      <c r="U16" s="258">
        <v>8382478</v>
      </c>
      <c r="V16" s="258">
        <v>9222783</v>
      </c>
      <c r="W16" s="258">
        <v>9436150</v>
      </c>
      <c r="X16" s="258">
        <v>10275196</v>
      </c>
      <c r="Y16" s="258"/>
      <c r="Z16" s="258">
        <v>3988128</v>
      </c>
      <c r="AA16" s="258">
        <v>6449877</v>
      </c>
      <c r="AB16" s="258">
        <v>6826139</v>
      </c>
      <c r="AC16" s="258">
        <f t="shared" si="0"/>
        <v>7316180</v>
      </c>
      <c r="AD16" s="258">
        <f t="shared" si="1"/>
        <v>8382478</v>
      </c>
    </row>
    <row r="17" spans="1:30" s="211" customFormat="1" ht="11.25">
      <c r="A17" s="257" t="s">
        <v>123</v>
      </c>
      <c r="B17" s="258">
        <v>20370</v>
      </c>
      <c r="C17" s="258">
        <v>19796</v>
      </c>
      <c r="D17" s="258">
        <v>201859</v>
      </c>
      <c r="E17" s="258">
        <v>199030</v>
      </c>
      <c r="F17" s="258">
        <v>195467</v>
      </c>
      <c r="G17" s="258">
        <v>191223</v>
      </c>
      <c r="H17" s="258">
        <v>191948</v>
      </c>
      <c r="I17" s="258">
        <v>189084</v>
      </c>
      <c r="J17" s="258">
        <v>191090</v>
      </c>
      <c r="K17" s="258">
        <v>278391</v>
      </c>
      <c r="L17" s="259">
        <v>252813</v>
      </c>
      <c r="M17" s="259">
        <v>235283</v>
      </c>
      <c r="N17" s="258">
        <v>210751</v>
      </c>
      <c r="O17" s="258">
        <v>213440</v>
      </c>
      <c r="P17" s="258">
        <v>211031</v>
      </c>
      <c r="Q17" s="258">
        <v>203490</v>
      </c>
      <c r="R17" s="258">
        <v>201104</v>
      </c>
      <c r="S17" s="258">
        <v>189690</v>
      </c>
      <c r="T17" s="258">
        <v>186696</v>
      </c>
      <c r="U17" s="258">
        <v>181136</v>
      </c>
      <c r="V17" s="258">
        <v>181431</v>
      </c>
      <c r="W17" s="258">
        <v>176777</v>
      </c>
      <c r="X17" s="258">
        <v>172753</v>
      </c>
      <c r="Y17" s="258"/>
      <c r="Z17" s="258">
        <v>199030</v>
      </c>
      <c r="AA17" s="258">
        <v>189084</v>
      </c>
      <c r="AB17" s="258">
        <v>235283</v>
      </c>
      <c r="AC17" s="258">
        <f t="shared" si="0"/>
        <v>203490</v>
      </c>
      <c r="AD17" s="258">
        <f t="shared" si="1"/>
        <v>181136</v>
      </c>
    </row>
    <row r="18" spans="1:30" s="178" customFormat="1" ht="11.25">
      <c r="A18" s="257" t="s">
        <v>124</v>
      </c>
      <c r="B18" s="258">
        <v>196804</v>
      </c>
      <c r="C18" s="258">
        <v>588640</v>
      </c>
      <c r="D18" s="258">
        <v>635647</v>
      </c>
      <c r="E18" s="258">
        <v>559703</v>
      </c>
      <c r="F18" s="258">
        <v>566584</v>
      </c>
      <c r="G18" s="258">
        <v>570866</v>
      </c>
      <c r="H18" s="258">
        <v>590702</v>
      </c>
      <c r="I18" s="258">
        <v>1189459</v>
      </c>
      <c r="J18" s="258">
        <v>1241588</v>
      </c>
      <c r="K18" s="258">
        <v>1283840</v>
      </c>
      <c r="L18" s="259">
        <v>1161434</v>
      </c>
      <c r="M18" s="259">
        <v>613668</v>
      </c>
      <c r="N18" s="258">
        <v>530080</v>
      </c>
      <c r="O18" s="258">
        <v>576704</v>
      </c>
      <c r="P18" s="258">
        <v>603140</v>
      </c>
      <c r="Q18" s="258">
        <v>556636</v>
      </c>
      <c r="R18" s="258">
        <v>572175</v>
      </c>
      <c r="S18" s="258">
        <v>540818</v>
      </c>
      <c r="T18" s="258">
        <v>554070</v>
      </c>
      <c r="U18" s="258">
        <v>494654</v>
      </c>
      <c r="V18" s="258">
        <v>527790</v>
      </c>
      <c r="W18" s="258">
        <v>533954</v>
      </c>
      <c r="X18" s="258">
        <v>727928</v>
      </c>
      <c r="Y18" s="258"/>
      <c r="Z18" s="258">
        <v>559703</v>
      </c>
      <c r="AA18" s="258">
        <v>1189459</v>
      </c>
      <c r="AB18" s="258">
        <v>613668</v>
      </c>
      <c r="AC18" s="258">
        <f t="shared" si="0"/>
        <v>556636</v>
      </c>
      <c r="AD18" s="258">
        <f t="shared" si="1"/>
        <v>494654</v>
      </c>
    </row>
    <row r="19" spans="1:30" s="211" customFormat="1" ht="11.25">
      <c r="A19" s="260" t="s">
        <v>125</v>
      </c>
      <c r="B19" s="259">
        <v>123265</v>
      </c>
      <c r="C19" s="259">
        <v>130660</v>
      </c>
      <c r="D19" s="259">
        <v>121489</v>
      </c>
      <c r="E19" s="259">
        <v>110179</v>
      </c>
      <c r="F19" s="259">
        <v>103872</v>
      </c>
      <c r="G19" s="259">
        <v>31520</v>
      </c>
      <c r="H19" s="259">
        <v>33445</v>
      </c>
      <c r="I19" s="259">
        <v>40754</v>
      </c>
      <c r="J19" s="259">
        <v>52726</v>
      </c>
      <c r="K19" s="259">
        <v>59737</v>
      </c>
      <c r="L19" s="259">
        <v>74899</v>
      </c>
      <c r="M19" s="259">
        <v>33546</v>
      </c>
      <c r="N19" s="259">
        <v>34473</v>
      </c>
      <c r="O19" s="259">
        <v>28184</v>
      </c>
      <c r="P19" s="259">
        <v>36281</v>
      </c>
      <c r="Q19" s="259">
        <v>68457</v>
      </c>
      <c r="R19" s="259">
        <v>49112</v>
      </c>
      <c r="S19" s="259">
        <v>40891</v>
      </c>
      <c r="T19" s="259">
        <v>19973</v>
      </c>
      <c r="U19" s="259">
        <v>26356</v>
      </c>
      <c r="V19" s="259">
        <v>25343</v>
      </c>
      <c r="W19" s="259">
        <v>22486</v>
      </c>
      <c r="X19" s="259">
        <v>10438</v>
      </c>
      <c r="Y19" s="259"/>
      <c r="Z19" s="259">
        <v>110179</v>
      </c>
      <c r="AA19" s="259">
        <v>40754</v>
      </c>
      <c r="AB19" s="259">
        <v>33546</v>
      </c>
      <c r="AC19" s="259">
        <f t="shared" si="0"/>
        <v>68457</v>
      </c>
      <c r="AD19" s="259">
        <f t="shared" si="1"/>
        <v>26356</v>
      </c>
    </row>
    <row r="20" spans="1:30" s="211" customFormat="1" ht="11.25">
      <c r="A20" s="257" t="s">
        <v>126</v>
      </c>
      <c r="B20" s="258"/>
      <c r="C20" s="258"/>
      <c r="D20" s="258"/>
      <c r="E20" s="258"/>
      <c r="F20" s="258">
        <v>114401</v>
      </c>
      <c r="G20" s="258"/>
      <c r="H20" s="258"/>
      <c r="I20" s="258"/>
      <c r="J20" s="258"/>
      <c r="K20" s="258"/>
      <c r="L20" s="259"/>
      <c r="M20" s="259">
        <v>194286</v>
      </c>
      <c r="N20" s="258"/>
      <c r="O20" s="258"/>
      <c r="P20" s="258"/>
      <c r="Q20" s="258"/>
      <c r="Y20" s="258"/>
      <c r="Z20" s="258"/>
      <c r="AA20" s="258"/>
      <c r="AB20" s="258">
        <v>194286</v>
      </c>
      <c r="AC20" s="258"/>
      <c r="AD20" s="258"/>
    </row>
    <row r="21" spans="1:30" s="211" customFormat="1" ht="11.25">
      <c r="A21" s="260" t="s">
        <v>204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259"/>
      <c r="N21" s="258"/>
      <c r="O21" s="258"/>
      <c r="P21" s="258"/>
      <c r="Q21" s="258">
        <v>12199</v>
      </c>
      <c r="R21" s="258">
        <v>25847</v>
      </c>
      <c r="S21" s="258">
        <v>22752</v>
      </c>
      <c r="T21" s="258">
        <v>31027</v>
      </c>
      <c r="U21" s="258">
        <v>21387</v>
      </c>
      <c r="V21" s="258">
        <v>27590</v>
      </c>
      <c r="W21" s="259">
        <v>37885</v>
      </c>
      <c r="X21" s="259">
        <v>245177</v>
      </c>
      <c r="Y21" s="258"/>
      <c r="Z21" s="258"/>
      <c r="AA21" s="258"/>
      <c r="AB21" s="258"/>
      <c r="AC21" s="258">
        <f t="shared" si="0"/>
        <v>12199</v>
      </c>
      <c r="AD21" s="258">
        <f t="shared" si="1"/>
        <v>21387</v>
      </c>
    </row>
    <row r="22" spans="1:30" s="211" customFormat="1" ht="12" thickBot="1">
      <c r="A22" s="260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9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</row>
    <row r="23" spans="1:30" s="211" customFormat="1" ht="12" thickBot="1">
      <c r="A23" s="175" t="s">
        <v>127</v>
      </c>
      <c r="B23" s="265">
        <v>6825039</v>
      </c>
      <c r="C23" s="265">
        <v>7374167</v>
      </c>
      <c r="D23" s="265">
        <v>8290093</v>
      </c>
      <c r="E23" s="265">
        <v>8716990</v>
      </c>
      <c r="F23" s="265">
        <v>9304547</v>
      </c>
      <c r="G23" s="265">
        <v>9411516</v>
      </c>
      <c r="H23" s="265">
        <v>10009135</v>
      </c>
      <c r="I23" s="265">
        <v>13075942</v>
      </c>
      <c r="J23" s="265">
        <v>14412634</v>
      </c>
      <c r="K23" s="265">
        <v>15112421</v>
      </c>
      <c r="L23" s="266">
        <v>16518715</v>
      </c>
      <c r="M23" s="266">
        <v>14064528</v>
      </c>
      <c r="N23" s="265">
        <v>11797205</v>
      </c>
      <c r="O23" s="265">
        <v>12339447</v>
      </c>
      <c r="P23" s="265">
        <v>12450146</v>
      </c>
      <c r="Q23" s="265">
        <v>12501944</v>
      </c>
      <c r="R23" s="265">
        <v>13028984</v>
      </c>
      <c r="S23" s="265">
        <v>12863091</v>
      </c>
      <c r="T23" s="265">
        <v>13880210</v>
      </c>
      <c r="U23" s="265">
        <v>13899025</v>
      </c>
      <c r="V23" s="265">
        <v>15150481</v>
      </c>
      <c r="W23" s="265">
        <v>15950535</v>
      </c>
      <c r="X23" s="265">
        <v>17084114</v>
      </c>
      <c r="Y23" s="265"/>
      <c r="Z23" s="265">
        <v>8716990</v>
      </c>
      <c r="AA23" s="265">
        <v>13075942</v>
      </c>
      <c r="AB23" s="265">
        <v>14064528</v>
      </c>
      <c r="AC23" s="265">
        <f t="shared" si="0"/>
        <v>12501944</v>
      </c>
      <c r="AD23" s="265">
        <f t="shared" si="1"/>
        <v>13899025</v>
      </c>
    </row>
    <row r="24" spans="1:30" s="207" customFormat="1" ht="11.25">
      <c r="A24" s="250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9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</row>
    <row r="25" spans="1:30" s="207" customFormat="1" ht="12" thickBot="1">
      <c r="A25" s="89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08"/>
      <c r="M25" s="10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30" s="225" customFormat="1" ht="12" thickBot="1">
      <c r="A26" s="175" t="s">
        <v>128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</row>
    <row r="27" spans="1:30" s="178" customFormat="1" ht="11.25">
      <c r="A27" s="251" t="s">
        <v>129</v>
      </c>
      <c r="B27" s="267">
        <v>539864</v>
      </c>
      <c r="C27" s="267">
        <v>892582</v>
      </c>
      <c r="D27" s="267">
        <v>1232463</v>
      </c>
      <c r="E27" s="267">
        <v>993451</v>
      </c>
      <c r="F27" s="267">
        <v>943016</v>
      </c>
      <c r="G27" s="267">
        <v>979897</v>
      </c>
      <c r="H27" s="267">
        <v>991515</v>
      </c>
      <c r="I27" s="267">
        <v>3002190</v>
      </c>
      <c r="J27" s="267">
        <v>3247665</v>
      </c>
      <c r="K27" s="267">
        <v>3516836</v>
      </c>
      <c r="L27" s="268">
        <v>3208070</v>
      </c>
      <c r="M27" s="268">
        <v>2980475</v>
      </c>
      <c r="N27" s="267">
        <v>2278646</v>
      </c>
      <c r="O27" s="267">
        <v>2264246</v>
      </c>
      <c r="P27" s="267">
        <v>1998424</v>
      </c>
      <c r="Q27" s="267">
        <v>1417212</v>
      </c>
      <c r="R27" s="267">
        <v>1533486</v>
      </c>
      <c r="S27" s="267">
        <v>1639930</v>
      </c>
      <c r="T27" s="267">
        <v>1802454</v>
      </c>
      <c r="U27" s="267">
        <v>1651796</v>
      </c>
      <c r="V27" s="267">
        <v>1831104</v>
      </c>
      <c r="W27" s="267">
        <v>2140844</v>
      </c>
      <c r="X27" s="267">
        <v>3162862</v>
      </c>
      <c r="Y27" s="267"/>
      <c r="Z27" s="267">
        <v>993451</v>
      </c>
      <c r="AA27" s="267">
        <v>3002190</v>
      </c>
      <c r="AB27" s="267">
        <v>2980475</v>
      </c>
      <c r="AC27" s="267">
        <f t="shared" si="0"/>
        <v>1417212</v>
      </c>
      <c r="AD27" s="267">
        <f t="shared" si="1"/>
        <v>1651796</v>
      </c>
    </row>
    <row r="28" spans="1:30" s="202" customFormat="1" ht="11.25">
      <c r="A28" s="257" t="s">
        <v>130</v>
      </c>
      <c r="B28" s="258">
        <v>510777</v>
      </c>
      <c r="C28" s="258">
        <v>692556</v>
      </c>
      <c r="D28" s="258">
        <v>977703</v>
      </c>
      <c r="E28" s="258">
        <v>664319</v>
      </c>
      <c r="F28" s="258">
        <v>718289</v>
      </c>
      <c r="G28" s="258">
        <v>830490</v>
      </c>
      <c r="H28" s="258">
        <v>859685</v>
      </c>
      <c r="I28" s="258">
        <v>1394934</v>
      </c>
      <c r="J28" s="258">
        <v>1220492</v>
      </c>
      <c r="K28" s="258">
        <v>1757393</v>
      </c>
      <c r="L28" s="259">
        <v>1723855</v>
      </c>
      <c r="M28" s="259">
        <v>1879213</v>
      </c>
      <c r="N28" s="258">
        <v>1162047</v>
      </c>
      <c r="O28" s="258">
        <v>1109279</v>
      </c>
      <c r="P28" s="258">
        <v>997412</v>
      </c>
      <c r="Q28" s="258">
        <v>841230</v>
      </c>
      <c r="R28" s="258">
        <v>962933</v>
      </c>
      <c r="S28" s="258">
        <v>1057660</v>
      </c>
      <c r="T28" s="258">
        <v>1171420</v>
      </c>
      <c r="U28" s="258">
        <v>1107434</v>
      </c>
      <c r="V28" s="258">
        <v>1251969</v>
      </c>
      <c r="W28" s="258">
        <v>1535014</v>
      </c>
      <c r="X28" s="258">
        <v>2098176</v>
      </c>
      <c r="Y28" s="258"/>
      <c r="Z28" s="258">
        <v>664319</v>
      </c>
      <c r="AA28" s="258">
        <v>1394934</v>
      </c>
      <c r="AB28" s="258">
        <v>1879213</v>
      </c>
      <c r="AC28" s="258">
        <f t="shared" si="0"/>
        <v>841230</v>
      </c>
      <c r="AD28" s="258">
        <f t="shared" si="1"/>
        <v>1107434</v>
      </c>
    </row>
    <row r="29" spans="1:30" s="178" customFormat="1" ht="12" customHeight="1">
      <c r="A29" s="257" t="s">
        <v>131</v>
      </c>
      <c r="B29" s="258"/>
      <c r="C29" s="258">
        <v>141800</v>
      </c>
      <c r="D29" s="258">
        <v>118663</v>
      </c>
      <c r="E29" s="258">
        <v>248782</v>
      </c>
      <c r="F29" s="258">
        <v>99333</v>
      </c>
      <c r="G29" s="258">
        <v>71841</v>
      </c>
      <c r="H29" s="258">
        <v>51565</v>
      </c>
      <c r="I29" s="258">
        <v>1536570</v>
      </c>
      <c r="J29" s="258">
        <v>1933609</v>
      </c>
      <c r="K29" s="258">
        <v>1607800</v>
      </c>
      <c r="L29" s="259">
        <v>1344975</v>
      </c>
      <c r="M29" s="259">
        <v>1079806</v>
      </c>
      <c r="N29" s="258">
        <v>1090067</v>
      </c>
      <c r="O29" s="258">
        <v>1126035</v>
      </c>
      <c r="P29" s="258">
        <v>957435</v>
      </c>
      <c r="Q29" s="258">
        <v>556563</v>
      </c>
      <c r="R29" s="258">
        <v>544279</v>
      </c>
      <c r="S29" s="258">
        <v>538904</v>
      </c>
      <c r="T29" s="258">
        <v>594709</v>
      </c>
      <c r="U29" s="258">
        <v>525559</v>
      </c>
      <c r="V29" s="258">
        <v>552766</v>
      </c>
      <c r="W29" s="258">
        <v>543755</v>
      </c>
      <c r="X29" s="258">
        <v>1030852</v>
      </c>
      <c r="Y29" s="258"/>
      <c r="Z29" s="258">
        <v>248782</v>
      </c>
      <c r="AA29" s="258">
        <v>1536570</v>
      </c>
      <c r="AB29" s="258">
        <v>1079806</v>
      </c>
      <c r="AC29" s="258">
        <f t="shared" si="0"/>
        <v>556563</v>
      </c>
      <c r="AD29" s="258">
        <f t="shared" si="1"/>
        <v>525559</v>
      </c>
    </row>
    <row r="30" spans="1:30" s="178" customFormat="1" ht="12" customHeight="1">
      <c r="A30" s="260" t="s">
        <v>132</v>
      </c>
      <c r="B30" s="259">
        <v>29087</v>
      </c>
      <c r="C30" s="259">
        <v>58226</v>
      </c>
      <c r="D30" s="259">
        <v>136097</v>
      </c>
      <c r="E30" s="259">
        <v>80350</v>
      </c>
      <c r="F30" s="259">
        <v>84382</v>
      </c>
      <c r="G30" s="259">
        <v>77566</v>
      </c>
      <c r="H30" s="259">
        <v>80265</v>
      </c>
      <c r="I30" s="259">
        <v>70686</v>
      </c>
      <c r="J30" s="259">
        <v>93564</v>
      </c>
      <c r="K30" s="259">
        <v>151643</v>
      </c>
      <c r="L30" s="259">
        <v>139240</v>
      </c>
      <c r="M30" s="259">
        <v>10497</v>
      </c>
      <c r="N30" s="259">
        <v>26532</v>
      </c>
      <c r="O30" s="259">
        <v>28932</v>
      </c>
      <c r="P30" s="259">
        <v>43577</v>
      </c>
      <c r="Q30" s="259">
        <v>19419</v>
      </c>
      <c r="R30" s="259">
        <v>26274</v>
      </c>
      <c r="S30" s="259">
        <v>43366</v>
      </c>
      <c r="T30" s="259">
        <v>36325</v>
      </c>
      <c r="U30" s="259">
        <v>18803</v>
      </c>
      <c r="V30" s="259">
        <v>26369</v>
      </c>
      <c r="W30" s="259">
        <v>62075</v>
      </c>
      <c r="X30" s="259">
        <v>33834</v>
      </c>
      <c r="Y30" s="259"/>
      <c r="Z30" s="259">
        <v>80350</v>
      </c>
      <c r="AA30" s="259">
        <v>70686</v>
      </c>
      <c r="AB30" s="259">
        <v>10497</v>
      </c>
      <c r="AC30" s="259">
        <f t="shared" si="0"/>
        <v>19419</v>
      </c>
      <c r="AD30" s="259">
        <f t="shared" si="1"/>
        <v>18803</v>
      </c>
    </row>
    <row r="31" spans="1:30" s="178" customFormat="1" ht="11.25">
      <c r="A31" s="257" t="s">
        <v>133</v>
      </c>
      <c r="B31" s="258"/>
      <c r="C31" s="258"/>
      <c r="D31" s="258"/>
      <c r="E31" s="258"/>
      <c r="F31" s="258">
        <v>41012</v>
      </c>
      <c r="G31" s="258"/>
      <c r="H31" s="258"/>
      <c r="I31" s="258"/>
      <c r="J31" s="258"/>
      <c r="K31" s="258"/>
      <c r="L31" s="259"/>
      <c r="M31" s="259">
        <v>10959</v>
      </c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>
        <v>10959</v>
      </c>
      <c r="AC31" s="258"/>
      <c r="AD31" s="258"/>
    </row>
    <row r="32" spans="1:30" s="89" customFormat="1" ht="11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9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</row>
    <row r="33" spans="1:30" s="89" customFormat="1" ht="11.25">
      <c r="A33" s="269" t="s">
        <v>134</v>
      </c>
      <c r="B33" s="270">
        <v>422541</v>
      </c>
      <c r="C33" s="270">
        <v>508217</v>
      </c>
      <c r="D33" s="270">
        <v>605459</v>
      </c>
      <c r="E33" s="270">
        <v>780672</v>
      </c>
      <c r="F33" s="270">
        <v>818923</v>
      </c>
      <c r="G33" s="270">
        <v>596533</v>
      </c>
      <c r="H33" s="270">
        <v>639978</v>
      </c>
      <c r="I33" s="270">
        <v>975408</v>
      </c>
      <c r="J33" s="270">
        <v>1025121</v>
      </c>
      <c r="K33" s="270">
        <v>938759</v>
      </c>
      <c r="L33" s="264">
        <v>2624513</v>
      </c>
      <c r="M33" s="264">
        <v>2360984</v>
      </c>
      <c r="N33" s="270">
        <v>2111011</v>
      </c>
      <c r="O33" s="270">
        <v>2149450</v>
      </c>
      <c r="P33" s="270">
        <v>2058700</v>
      </c>
      <c r="Q33" s="270">
        <v>2474864</v>
      </c>
      <c r="R33" s="270">
        <v>2580623</v>
      </c>
      <c r="S33" s="270">
        <v>2426691</v>
      </c>
      <c r="T33" s="270">
        <v>2635980</v>
      </c>
      <c r="U33" s="270">
        <v>2693415</v>
      </c>
      <c r="V33" s="270">
        <v>2718242</v>
      </c>
      <c r="W33" s="270">
        <v>2539264</v>
      </c>
      <c r="X33" s="270">
        <v>3849420</v>
      </c>
      <c r="Y33" s="270"/>
      <c r="Z33" s="270">
        <v>780672</v>
      </c>
      <c r="AA33" s="270">
        <v>975408</v>
      </c>
      <c r="AB33" s="270">
        <v>2360984</v>
      </c>
      <c r="AC33" s="270">
        <f t="shared" si="0"/>
        <v>2474864</v>
      </c>
      <c r="AD33" s="270">
        <f t="shared" si="1"/>
        <v>2693415</v>
      </c>
    </row>
    <row r="34" spans="1:30" s="89" customFormat="1" ht="11.25" customHeight="1" outlineLevel="1">
      <c r="A34" s="257" t="s">
        <v>135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>
        <v>0</v>
      </c>
      <c r="M34" s="259"/>
      <c r="N34" s="258"/>
      <c r="O34" s="258"/>
      <c r="Y34" s="258"/>
      <c r="Z34" s="258"/>
      <c r="AA34" s="258"/>
      <c r="AB34" s="258"/>
      <c r="AC34" s="258"/>
      <c r="AD34" s="258"/>
    </row>
    <row r="35" spans="1:30" s="89" customFormat="1" ht="11.25">
      <c r="A35" s="257" t="s">
        <v>136</v>
      </c>
      <c r="B35" s="258"/>
      <c r="C35" s="258">
        <v>16796</v>
      </c>
      <c r="D35" s="258">
        <v>13665</v>
      </c>
      <c r="E35" s="258">
        <v>48153</v>
      </c>
      <c r="F35" s="258">
        <v>50523</v>
      </c>
      <c r="G35" s="258">
        <v>19226</v>
      </c>
      <c r="H35" s="258">
        <v>19452</v>
      </c>
      <c r="I35" s="258">
        <v>73225</v>
      </c>
      <c r="J35" s="258">
        <v>170148</v>
      </c>
      <c r="K35" s="258">
        <v>77464</v>
      </c>
      <c r="L35" s="259">
        <v>1991941</v>
      </c>
      <c r="M35" s="259">
        <v>1929772</v>
      </c>
      <c r="N35" s="261">
        <v>1709451</v>
      </c>
      <c r="O35" s="261">
        <v>1668359</v>
      </c>
      <c r="P35" s="259">
        <v>1571184</v>
      </c>
      <c r="Q35" s="259">
        <v>1938652</v>
      </c>
      <c r="R35" s="259">
        <v>1991906</v>
      </c>
      <c r="S35" s="259">
        <v>1827689</v>
      </c>
      <c r="T35" s="259">
        <v>2058608</v>
      </c>
      <c r="U35" s="259">
        <v>2098863</v>
      </c>
      <c r="V35" s="259">
        <v>2074115</v>
      </c>
      <c r="W35" s="259">
        <v>2070177</v>
      </c>
      <c r="X35" s="259">
        <v>2790963</v>
      </c>
      <c r="Y35" s="258"/>
      <c r="Z35" s="258">
        <v>48153</v>
      </c>
      <c r="AA35" s="258">
        <v>73225</v>
      </c>
      <c r="AB35" s="258">
        <v>1929772</v>
      </c>
      <c r="AC35" s="258">
        <f t="shared" si="0"/>
        <v>1938652</v>
      </c>
      <c r="AD35" s="258">
        <f t="shared" si="1"/>
        <v>2098863</v>
      </c>
    </row>
    <row r="36" spans="1:30" s="89" customFormat="1" ht="11.25">
      <c r="A36" s="260" t="s">
        <v>137</v>
      </c>
      <c r="B36" s="259">
        <v>311969</v>
      </c>
      <c r="C36" s="259">
        <v>421755</v>
      </c>
      <c r="D36" s="259">
        <v>536765</v>
      </c>
      <c r="E36" s="259">
        <v>537647</v>
      </c>
      <c r="F36" s="259">
        <v>552396</v>
      </c>
      <c r="G36" s="259">
        <v>563659</v>
      </c>
      <c r="H36" s="259">
        <v>592817</v>
      </c>
      <c r="I36" s="259">
        <v>585567</v>
      </c>
      <c r="J36" s="259">
        <v>538457</v>
      </c>
      <c r="K36" s="259">
        <v>551728</v>
      </c>
      <c r="L36" s="259">
        <v>509234</v>
      </c>
      <c r="M36" s="259">
        <v>296875</v>
      </c>
      <c r="N36" s="261">
        <v>288402</v>
      </c>
      <c r="O36" s="261">
        <v>358410</v>
      </c>
      <c r="P36" s="258">
        <v>371289</v>
      </c>
      <c r="Q36" s="258">
        <v>396306</v>
      </c>
      <c r="R36" s="258">
        <v>408873</v>
      </c>
      <c r="S36" s="258">
        <v>391840</v>
      </c>
      <c r="T36" s="258">
        <v>383633</v>
      </c>
      <c r="U36" s="258">
        <v>400601</v>
      </c>
      <c r="V36" s="258">
        <v>449800</v>
      </c>
      <c r="W36" s="258">
        <v>454778</v>
      </c>
      <c r="X36" s="258">
        <v>705250</v>
      </c>
      <c r="Z36" s="259">
        <v>537647</v>
      </c>
      <c r="AA36" s="259">
        <v>585567</v>
      </c>
      <c r="AB36" s="259">
        <v>296875</v>
      </c>
      <c r="AC36" s="259">
        <f t="shared" si="0"/>
        <v>396306</v>
      </c>
      <c r="AD36" s="259">
        <f t="shared" si="1"/>
        <v>400601</v>
      </c>
    </row>
    <row r="37" spans="1:30" s="89" customFormat="1" ht="11.25">
      <c r="A37" s="260" t="s">
        <v>138</v>
      </c>
      <c r="B37" s="259">
        <v>110572</v>
      </c>
      <c r="C37" s="259">
        <v>69666</v>
      </c>
      <c r="D37" s="259">
        <v>55029</v>
      </c>
      <c r="E37" s="259">
        <v>194872</v>
      </c>
      <c r="F37" s="259">
        <v>40609</v>
      </c>
      <c r="G37" s="259">
        <v>13648</v>
      </c>
      <c r="H37" s="259">
        <v>27709</v>
      </c>
      <c r="I37" s="259">
        <v>316616</v>
      </c>
      <c r="J37" s="259">
        <v>316516</v>
      </c>
      <c r="K37" s="259">
        <v>309567</v>
      </c>
      <c r="L37" s="259">
        <v>123338</v>
      </c>
      <c r="M37" s="259">
        <v>128944</v>
      </c>
      <c r="N37" s="261">
        <v>113158</v>
      </c>
      <c r="O37" s="261">
        <v>122681</v>
      </c>
      <c r="P37" s="259">
        <v>116227</v>
      </c>
      <c r="Q37" s="259">
        <v>139906</v>
      </c>
      <c r="R37" s="259">
        <v>179844</v>
      </c>
      <c r="S37" s="259">
        <v>207162</v>
      </c>
      <c r="T37" s="259">
        <v>193739</v>
      </c>
      <c r="U37" s="259">
        <v>193951</v>
      </c>
      <c r="V37" s="259">
        <v>194327</v>
      </c>
      <c r="W37" s="259">
        <v>14309</v>
      </c>
      <c r="X37" s="259">
        <v>353207</v>
      </c>
      <c r="Y37" s="259"/>
      <c r="Z37" s="259">
        <v>194872</v>
      </c>
      <c r="AA37" s="259">
        <v>316616</v>
      </c>
      <c r="AB37" s="259">
        <v>128944</v>
      </c>
      <c r="AC37" s="259">
        <f t="shared" si="0"/>
        <v>139906</v>
      </c>
      <c r="AD37" s="259">
        <f t="shared" si="1"/>
        <v>193951</v>
      </c>
    </row>
    <row r="38" spans="1:30" s="178" customFormat="1" ht="11.25">
      <c r="A38" s="257" t="s">
        <v>139</v>
      </c>
      <c r="B38" s="258"/>
      <c r="C38" s="258"/>
      <c r="D38" s="258"/>
      <c r="E38" s="258"/>
      <c r="F38" s="258">
        <v>175395</v>
      </c>
      <c r="G38" s="258"/>
      <c r="H38" s="258"/>
      <c r="I38" s="258"/>
      <c r="J38" s="258"/>
      <c r="K38" s="258"/>
      <c r="L38" s="259"/>
      <c r="M38" s="259">
        <v>5393</v>
      </c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>
        <v>5393</v>
      </c>
      <c r="AC38" s="258"/>
      <c r="AD38" s="258"/>
    </row>
    <row r="39" spans="1:30" s="178" customFormat="1" ht="11.25">
      <c r="A39" s="250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9"/>
      <c r="M39" s="259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</row>
    <row r="40" spans="1:30" s="178" customFormat="1" ht="11.25">
      <c r="A40" s="271" t="s">
        <v>140</v>
      </c>
      <c r="B40" s="272">
        <v>962405</v>
      </c>
      <c r="C40" s="272">
        <v>1400799</v>
      </c>
      <c r="D40" s="272">
        <v>1837922</v>
      </c>
      <c r="E40" s="272">
        <v>1774123</v>
      </c>
      <c r="F40" s="272">
        <v>1761939</v>
      </c>
      <c r="G40" s="272">
        <v>1576430</v>
      </c>
      <c r="H40" s="272">
        <v>1631493</v>
      </c>
      <c r="I40" s="272">
        <v>3977598</v>
      </c>
      <c r="J40" s="272">
        <v>4272786</v>
      </c>
      <c r="K40" s="272">
        <v>4455595</v>
      </c>
      <c r="L40" s="273">
        <v>5832583</v>
      </c>
      <c r="M40" s="273">
        <v>5341459</v>
      </c>
      <c r="N40" s="272">
        <v>4389657</v>
      </c>
      <c r="O40" s="272">
        <v>4413696</v>
      </c>
      <c r="P40" s="272">
        <v>4057124</v>
      </c>
      <c r="Q40" s="272">
        <v>3892076</v>
      </c>
      <c r="R40" s="272">
        <v>4114109</v>
      </c>
      <c r="S40" s="272">
        <v>4066621</v>
      </c>
      <c r="T40" s="272">
        <v>4438434</v>
      </c>
      <c r="U40" s="272">
        <v>4345211</v>
      </c>
      <c r="V40" s="272">
        <v>4549346</v>
      </c>
      <c r="W40" s="272">
        <v>4680108</v>
      </c>
      <c r="X40" s="272">
        <v>7012282</v>
      </c>
      <c r="Y40" s="272"/>
      <c r="Z40" s="272">
        <v>1774123</v>
      </c>
      <c r="AA40" s="272">
        <v>3977598</v>
      </c>
      <c r="AB40" s="272">
        <v>5341459</v>
      </c>
      <c r="AC40" s="272">
        <f t="shared" si="0"/>
        <v>3892076</v>
      </c>
      <c r="AD40" s="272">
        <f t="shared" si="1"/>
        <v>4345211</v>
      </c>
    </row>
    <row r="41" spans="1:30" s="178" customFormat="1" ht="11.25">
      <c r="A41" s="250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9"/>
      <c r="M41" s="259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</row>
    <row r="42" spans="1:30" s="178" customFormat="1" ht="11.25">
      <c r="A42" s="274" t="s">
        <v>8</v>
      </c>
      <c r="B42" s="273">
        <v>113111</v>
      </c>
      <c r="C42" s="273">
        <v>125764</v>
      </c>
      <c r="D42" s="273">
        <v>128942</v>
      </c>
      <c r="E42" s="273">
        <v>133425</v>
      </c>
      <c r="F42" s="273">
        <v>136264</v>
      </c>
      <c r="G42" s="273">
        <v>108921</v>
      </c>
      <c r="H42" s="273">
        <v>119236</v>
      </c>
      <c r="I42" s="273">
        <v>106813</v>
      </c>
      <c r="J42" s="273">
        <v>94094</v>
      </c>
      <c r="K42" s="273">
        <v>52706</v>
      </c>
      <c r="L42" s="273">
        <v>140262</v>
      </c>
      <c r="M42" s="273">
        <v>33100</v>
      </c>
      <c r="N42" s="273">
        <v>-64412</v>
      </c>
      <c r="O42" s="273">
        <v>-70908</v>
      </c>
      <c r="P42" s="273">
        <v>-89498</v>
      </c>
      <c r="Q42" s="273">
        <v>-108334</v>
      </c>
      <c r="R42" s="273">
        <v>-135617</v>
      </c>
      <c r="S42" s="273">
        <v>-118133</v>
      </c>
      <c r="T42" s="273">
        <v>-114591</v>
      </c>
      <c r="U42" s="273">
        <v>-120691</v>
      </c>
      <c r="V42" s="273">
        <v>-141201</v>
      </c>
      <c r="W42" s="273">
        <v>-143717</v>
      </c>
      <c r="X42" s="273">
        <v>-20572</v>
      </c>
      <c r="Y42" s="273"/>
      <c r="Z42" s="273">
        <v>133425</v>
      </c>
      <c r="AA42" s="273">
        <v>106813</v>
      </c>
      <c r="AB42" s="273">
        <v>33100</v>
      </c>
      <c r="AC42" s="273">
        <f t="shared" si="0"/>
        <v>-108334</v>
      </c>
      <c r="AD42" s="273">
        <f t="shared" si="1"/>
        <v>-120691</v>
      </c>
    </row>
    <row r="43" spans="1:30" s="178" customFormat="1" ht="11.25">
      <c r="A43" s="269" t="s">
        <v>141</v>
      </c>
      <c r="B43" s="270">
        <v>5749523</v>
      </c>
      <c r="C43" s="270">
        <v>5847604</v>
      </c>
      <c r="D43" s="270">
        <v>6323229</v>
      </c>
      <c r="E43" s="270">
        <v>6809442</v>
      </c>
      <c r="F43" s="270">
        <v>7406344</v>
      </c>
      <c r="G43" s="270">
        <v>7726165</v>
      </c>
      <c r="H43" s="270">
        <v>8258406</v>
      </c>
      <c r="I43" s="270">
        <v>8991531</v>
      </c>
      <c r="J43" s="270">
        <v>10045754</v>
      </c>
      <c r="K43" s="270">
        <v>10604120</v>
      </c>
      <c r="L43" s="264">
        <v>10545870</v>
      </c>
      <c r="M43" s="264">
        <v>8689969</v>
      </c>
      <c r="N43" s="270">
        <v>7471960</v>
      </c>
      <c r="O43" s="270">
        <v>7996659</v>
      </c>
      <c r="P43" s="270">
        <v>8482520</v>
      </c>
      <c r="Q43" s="270">
        <v>8718202</v>
      </c>
      <c r="R43" s="270">
        <v>9050492</v>
      </c>
      <c r="S43" s="270">
        <v>8914603</v>
      </c>
      <c r="T43" s="270">
        <v>9556367</v>
      </c>
      <c r="U43" s="270">
        <v>9674505</v>
      </c>
      <c r="V43" s="270">
        <v>10742336</v>
      </c>
      <c r="W43" s="270">
        <v>11414144</v>
      </c>
      <c r="X43" s="270">
        <v>10092404</v>
      </c>
      <c r="Y43" s="270"/>
      <c r="Z43" s="270">
        <v>6809442</v>
      </c>
      <c r="AA43" s="270">
        <v>8991531</v>
      </c>
      <c r="AB43" s="270">
        <v>8689969</v>
      </c>
      <c r="AC43" s="270">
        <f t="shared" si="0"/>
        <v>8718202</v>
      </c>
      <c r="AD43" s="270">
        <f t="shared" si="1"/>
        <v>9674505</v>
      </c>
    </row>
    <row r="44" spans="1:30" s="178" customFormat="1" ht="11.25">
      <c r="A44" s="260" t="s">
        <v>142</v>
      </c>
      <c r="B44" s="259">
        <v>221173</v>
      </c>
      <c r="C44" s="259">
        <v>221173</v>
      </c>
      <c r="D44" s="259">
        <v>221173</v>
      </c>
      <c r="E44" s="259">
        <v>221173</v>
      </c>
      <c r="F44" s="259">
        <v>221173</v>
      </c>
      <c r="G44" s="259">
        <v>221173</v>
      </c>
      <c r="H44" s="259">
        <v>221173</v>
      </c>
      <c r="I44" s="259">
        <v>221173</v>
      </c>
      <c r="J44" s="259">
        <v>221173</v>
      </c>
      <c r="K44" s="259">
        <v>221173</v>
      </c>
      <c r="L44" s="259">
        <v>221173</v>
      </c>
      <c r="M44" s="259">
        <v>221173</v>
      </c>
      <c r="N44" s="259">
        <v>221173</v>
      </c>
      <c r="O44" s="259">
        <v>221173</v>
      </c>
      <c r="P44" s="259">
        <v>221173</v>
      </c>
      <c r="Q44" s="259">
        <v>221173</v>
      </c>
      <c r="R44" s="259">
        <v>221173</v>
      </c>
      <c r="S44" s="259">
        <v>221173</v>
      </c>
      <c r="T44" s="259">
        <v>221173</v>
      </c>
      <c r="U44" s="259">
        <v>221173</v>
      </c>
      <c r="V44" s="259">
        <v>221173</v>
      </c>
      <c r="W44" s="259">
        <v>221173</v>
      </c>
      <c r="X44" s="259">
        <v>221173</v>
      </c>
      <c r="Y44" s="259"/>
      <c r="Z44" s="259">
        <v>221173</v>
      </c>
      <c r="AA44" s="259">
        <v>221173</v>
      </c>
      <c r="AB44" s="259">
        <v>221173</v>
      </c>
      <c r="AC44" s="259">
        <f t="shared" si="0"/>
        <v>221173</v>
      </c>
      <c r="AD44" s="259">
        <f t="shared" si="1"/>
        <v>221173</v>
      </c>
    </row>
    <row r="45" spans="1:30" s="178" customFormat="1" ht="11.25">
      <c r="A45" s="260" t="s">
        <v>143</v>
      </c>
      <c r="B45" s="259">
        <v>10267</v>
      </c>
      <c r="C45" s="259">
        <v>10267</v>
      </c>
      <c r="D45" s="259">
        <v>10267</v>
      </c>
      <c r="E45" s="259">
        <v>10267</v>
      </c>
      <c r="F45" s="259">
        <v>10267</v>
      </c>
      <c r="G45" s="259">
        <v>10267</v>
      </c>
      <c r="H45" s="259">
        <v>10267</v>
      </c>
      <c r="I45" s="259">
        <v>10267</v>
      </c>
      <c r="J45" s="259">
        <v>10267</v>
      </c>
      <c r="K45" s="259">
        <v>10267</v>
      </c>
      <c r="L45" s="259">
        <v>10267</v>
      </c>
      <c r="M45" s="259">
        <v>10267</v>
      </c>
      <c r="N45" s="259">
        <v>10267</v>
      </c>
      <c r="O45" s="259">
        <v>10267</v>
      </c>
      <c r="P45" s="259">
        <v>10267</v>
      </c>
      <c r="Q45" s="259">
        <v>10267</v>
      </c>
      <c r="R45" s="259">
        <v>10267</v>
      </c>
      <c r="S45" s="259">
        <v>10267</v>
      </c>
      <c r="T45" s="259">
        <v>10267</v>
      </c>
      <c r="U45" s="259">
        <v>10267</v>
      </c>
      <c r="V45" s="259">
        <v>10267</v>
      </c>
      <c r="W45" s="259">
        <v>10267</v>
      </c>
      <c r="X45" s="259">
        <v>10267</v>
      </c>
      <c r="Y45" s="259"/>
      <c r="Z45" s="259">
        <v>10267</v>
      </c>
      <c r="AA45" s="259">
        <v>10267</v>
      </c>
      <c r="AB45" s="259">
        <v>10267</v>
      </c>
      <c r="AC45" s="259">
        <f t="shared" si="0"/>
        <v>10267</v>
      </c>
      <c r="AD45" s="259">
        <f t="shared" si="1"/>
        <v>10267</v>
      </c>
    </row>
    <row r="46" spans="1:30" s="178" customFormat="1" ht="11.25">
      <c r="A46" s="260" t="s">
        <v>144</v>
      </c>
      <c r="B46" s="259">
        <v>1812</v>
      </c>
      <c r="C46" s="259">
        <v>1812</v>
      </c>
      <c r="D46" s="259">
        <v>1812</v>
      </c>
      <c r="E46" s="259">
        <v>1812</v>
      </c>
      <c r="F46" s="259">
        <v>52395</v>
      </c>
      <c r="G46" s="259">
        <v>52395</v>
      </c>
      <c r="H46" s="259">
        <v>52395</v>
      </c>
      <c r="I46" s="259">
        <v>52395</v>
      </c>
      <c r="J46" s="259">
        <v>52395</v>
      </c>
      <c r="K46" s="259">
        <v>52395</v>
      </c>
      <c r="L46" s="259">
        <v>52395</v>
      </c>
      <c r="M46" s="259">
        <v>52395</v>
      </c>
      <c r="N46" s="259">
        <v>137740</v>
      </c>
      <c r="O46" s="259">
        <v>117896</v>
      </c>
      <c r="P46" s="259">
        <v>112450</v>
      </c>
      <c r="Q46" s="259">
        <v>112450</v>
      </c>
      <c r="R46" s="259">
        <v>112450</v>
      </c>
      <c r="S46" s="259">
        <v>98752</v>
      </c>
      <c r="T46" s="259">
        <v>98752</v>
      </c>
      <c r="U46" s="259">
        <v>98752</v>
      </c>
      <c r="V46" s="259">
        <v>98752</v>
      </c>
      <c r="W46" s="259">
        <v>306391</v>
      </c>
      <c r="X46" s="259">
        <v>306391</v>
      </c>
      <c r="Y46" s="259"/>
      <c r="Z46" s="259">
        <v>1812</v>
      </c>
      <c r="AA46" s="259">
        <v>52395</v>
      </c>
      <c r="AB46" s="259">
        <v>52395</v>
      </c>
      <c r="AC46" s="259">
        <f t="shared" si="0"/>
        <v>112450</v>
      </c>
      <c r="AD46" s="259">
        <f t="shared" si="1"/>
        <v>98752</v>
      </c>
    </row>
    <row r="47" spans="1:30" s="178" customFormat="1" ht="11.25">
      <c r="A47" s="260" t="s">
        <v>145</v>
      </c>
      <c r="B47" s="259">
        <v>265274</v>
      </c>
      <c r="C47" s="259">
        <v>414254</v>
      </c>
      <c r="D47" s="259">
        <v>485017</v>
      </c>
      <c r="E47" s="259">
        <v>589986</v>
      </c>
      <c r="F47" s="259">
        <v>679688</v>
      </c>
      <c r="G47" s="259">
        <v>738341</v>
      </c>
      <c r="H47" s="259">
        <v>1038272</v>
      </c>
      <c r="I47" s="259">
        <v>1181546</v>
      </c>
      <c r="J47" s="259">
        <v>1618045</v>
      </c>
      <c r="K47" s="259">
        <v>1640859</v>
      </c>
      <c r="L47" s="259">
        <v>825394</v>
      </c>
      <c r="M47" s="259">
        <v>-549879</v>
      </c>
      <c r="N47" s="259">
        <v>-1659412</v>
      </c>
      <c r="O47" s="259">
        <v>-1065769</v>
      </c>
      <c r="P47" s="259">
        <v>-738260</v>
      </c>
      <c r="Q47" s="259">
        <v>-796756</v>
      </c>
      <c r="R47" s="259">
        <v>-596017</v>
      </c>
      <c r="S47" s="259">
        <v>-1134043</v>
      </c>
      <c r="T47" s="259">
        <v>-886492</v>
      </c>
      <c r="U47" s="259">
        <v>-916901</v>
      </c>
      <c r="V47" s="259">
        <v>-241445</v>
      </c>
      <c r="W47" s="259">
        <v>-107837</v>
      </c>
      <c r="X47" s="259">
        <v>-1390631</v>
      </c>
      <c r="Y47" s="259"/>
      <c r="Z47" s="259">
        <v>589986</v>
      </c>
      <c r="AA47" s="259">
        <v>1181546</v>
      </c>
      <c r="AB47" s="259">
        <v>-549879</v>
      </c>
      <c r="AC47" s="259">
        <f t="shared" si="0"/>
        <v>-796756</v>
      </c>
      <c r="AD47" s="259">
        <f t="shared" si="1"/>
        <v>-916901</v>
      </c>
    </row>
    <row r="48" spans="1:30" s="178" customFormat="1" ht="11.25">
      <c r="A48" s="257" t="s">
        <v>146</v>
      </c>
      <c r="B48" s="258">
        <v>5250997</v>
      </c>
      <c r="C48" s="258">
        <v>5200098</v>
      </c>
      <c r="D48" s="258">
        <v>5604960</v>
      </c>
      <c r="E48" s="258">
        <v>5986204</v>
      </c>
      <c r="F48" s="258">
        <v>6442821</v>
      </c>
      <c r="G48" s="258">
        <v>6703989</v>
      </c>
      <c r="H48" s="258">
        <v>6936299</v>
      </c>
      <c r="I48" s="258">
        <v>7526150</v>
      </c>
      <c r="J48" s="258">
        <v>8143874</v>
      </c>
      <c r="K48" s="258">
        <v>8679426</v>
      </c>
      <c r="L48" s="259">
        <v>9436641</v>
      </c>
      <c r="M48" s="259">
        <v>8956013</v>
      </c>
      <c r="N48" s="258">
        <v>8762192</v>
      </c>
      <c r="O48" s="258">
        <v>8713092</v>
      </c>
      <c r="P48" s="258">
        <v>8876890</v>
      </c>
      <c r="Q48" s="258">
        <v>9171068</v>
      </c>
      <c r="R48" s="258">
        <v>9302619</v>
      </c>
      <c r="S48" s="258">
        <v>9718454</v>
      </c>
      <c r="T48" s="258">
        <v>10112667</v>
      </c>
      <c r="U48" s="258">
        <v>10261214</v>
      </c>
      <c r="V48" s="258">
        <v>10653589</v>
      </c>
      <c r="W48" s="258">
        <v>10984150</v>
      </c>
      <c r="X48" s="258">
        <v>10945204</v>
      </c>
      <c r="Y48" s="258"/>
      <c r="Z48" s="258">
        <v>5986204</v>
      </c>
      <c r="AA48" s="258">
        <v>7526150</v>
      </c>
      <c r="AB48" s="258">
        <v>8956013</v>
      </c>
      <c r="AC48" s="258">
        <f t="shared" si="0"/>
        <v>9171068</v>
      </c>
      <c r="AD48" s="258">
        <f t="shared" si="1"/>
        <v>10261214</v>
      </c>
    </row>
    <row r="49" spans="1:30" s="178" customFormat="1" ht="12" thickBot="1">
      <c r="A49" s="275"/>
      <c r="B49" s="276">
        <v>5749523</v>
      </c>
      <c r="C49" s="276">
        <v>5847604</v>
      </c>
      <c r="D49" s="276">
        <v>6323229</v>
      </c>
      <c r="E49" s="276">
        <v>6809442</v>
      </c>
      <c r="F49" s="276">
        <v>7406344</v>
      </c>
      <c r="G49" s="276">
        <v>7726165</v>
      </c>
      <c r="H49" s="276">
        <v>8258406</v>
      </c>
      <c r="I49" s="276">
        <v>8991531</v>
      </c>
      <c r="J49" s="267"/>
      <c r="K49" s="267"/>
      <c r="L49" s="268"/>
      <c r="M49" s="268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76">
        <v>6809442</v>
      </c>
      <c r="AA49" s="276">
        <v>8991531</v>
      </c>
      <c r="AB49" s="276"/>
      <c r="AC49" s="276"/>
      <c r="AD49" s="276">
        <f t="shared" si="1"/>
        <v>0</v>
      </c>
    </row>
    <row r="50" spans="1:30" s="178" customFormat="1" ht="12" thickBot="1">
      <c r="A50" s="175" t="s">
        <v>147</v>
      </c>
      <c r="B50" s="265">
        <v>6825039</v>
      </c>
      <c r="C50" s="265">
        <v>7374167</v>
      </c>
      <c r="D50" s="265">
        <v>8290093</v>
      </c>
      <c r="E50" s="265">
        <v>8716990</v>
      </c>
      <c r="F50" s="265">
        <v>9304547</v>
      </c>
      <c r="G50" s="265">
        <v>9411516</v>
      </c>
      <c r="H50" s="265">
        <v>10009135</v>
      </c>
      <c r="I50" s="265">
        <v>13075942</v>
      </c>
      <c r="J50" s="265">
        <v>14412634</v>
      </c>
      <c r="K50" s="265">
        <v>15112421</v>
      </c>
      <c r="L50" s="266">
        <v>16518715</v>
      </c>
      <c r="M50" s="266">
        <v>14064528</v>
      </c>
      <c r="N50" s="265">
        <v>11797205</v>
      </c>
      <c r="O50" s="265">
        <v>12339447</v>
      </c>
      <c r="P50" s="265">
        <v>12450146</v>
      </c>
      <c r="Q50" s="265">
        <v>12501944</v>
      </c>
      <c r="R50" s="265">
        <v>13028984</v>
      </c>
      <c r="S50" s="265">
        <v>12863091</v>
      </c>
      <c r="T50" s="265">
        <v>13880210</v>
      </c>
      <c r="U50" s="265">
        <v>13899025</v>
      </c>
      <c r="V50" s="265">
        <v>15150481</v>
      </c>
      <c r="W50" s="265">
        <v>15950535</v>
      </c>
      <c r="X50" s="265">
        <v>17084114</v>
      </c>
      <c r="Y50" s="265"/>
      <c r="Z50" s="265">
        <v>8716990</v>
      </c>
      <c r="AA50" s="265">
        <v>13075942</v>
      </c>
      <c r="AB50" s="265">
        <v>14064528</v>
      </c>
      <c r="AC50" s="265">
        <f t="shared" si="0"/>
        <v>12501944</v>
      </c>
      <c r="AD50" s="265">
        <f t="shared" si="1"/>
        <v>13899025</v>
      </c>
    </row>
    <row r="51" spans="2:30" s="178" customFormat="1" ht="11.25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398"/>
      <c r="X51" s="398"/>
      <c r="Y51" s="277"/>
      <c r="Z51" s="277"/>
      <c r="AA51" s="277"/>
      <c r="AB51" s="277"/>
      <c r="AC51" s="277"/>
      <c r="AD51" s="277"/>
    </row>
    <row r="52" spans="2:30" s="178" customFormat="1" ht="12" thickBot="1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8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</row>
    <row r="53" spans="1:30" s="178" customFormat="1" ht="12" thickBot="1">
      <c r="A53" s="175" t="s">
        <v>18</v>
      </c>
      <c r="B53" s="265">
        <v>3880447</v>
      </c>
      <c r="C53" s="265">
        <v>5147340</v>
      </c>
      <c r="D53" s="265">
        <v>5725566</v>
      </c>
      <c r="E53" s="265">
        <v>7074975</v>
      </c>
      <c r="F53" s="265">
        <v>7309879</v>
      </c>
      <c r="G53" s="265">
        <v>7004546</v>
      </c>
      <c r="H53" s="265">
        <v>7508601</v>
      </c>
      <c r="I53" s="265">
        <v>9985603</v>
      </c>
      <c r="J53" s="265">
        <v>11423825</v>
      </c>
      <c r="K53" s="265">
        <f>K43+K42+K36+K35+K29-K5-K6</f>
        <v>11387663</v>
      </c>
      <c r="L53" s="266">
        <v>11782765</v>
      </c>
      <c r="M53" s="266">
        <v>9861444</v>
      </c>
      <c r="N53" s="265">
        <f aca="true" t="shared" si="2" ref="N53:S53">N43+N42+N36+N35+N29-N5-N6</f>
        <v>8611022</v>
      </c>
      <c r="O53" s="265">
        <f t="shared" si="2"/>
        <v>9020702</v>
      </c>
      <c r="P53" s="265">
        <f t="shared" si="2"/>
        <v>9524897</v>
      </c>
      <c r="Q53" s="265">
        <f t="shared" si="2"/>
        <v>9802431</v>
      </c>
      <c r="R53" s="265">
        <f t="shared" si="2"/>
        <v>10278407</v>
      </c>
      <c r="S53" s="265">
        <f t="shared" si="2"/>
        <v>10136785</v>
      </c>
      <c r="T53" s="265">
        <f>T43+T42+T36+T35+T29-T5-T6</f>
        <v>10973146</v>
      </c>
      <c r="U53" s="265">
        <f>U43+U42+U36+U35+U29-U5-U6</f>
        <v>11408215</v>
      </c>
      <c r="V53" s="265">
        <f>V43+V42+V36+V35+V29-V5-V6</f>
        <v>12435154</v>
      </c>
      <c r="W53" s="265">
        <f>W43+W42+W36+W35+W29-W5-W6</f>
        <v>13225654</v>
      </c>
      <c r="X53" s="265">
        <f>X43+X42+X36+X35+X29-X5-X6</f>
        <v>13710013</v>
      </c>
      <c r="Y53" s="265"/>
      <c r="Z53" s="265">
        <v>7074975</v>
      </c>
      <c r="AA53" s="265">
        <v>9985603</v>
      </c>
      <c r="AB53" s="265">
        <v>9861444</v>
      </c>
      <c r="AC53" s="265">
        <f t="shared" si="0"/>
        <v>9802431</v>
      </c>
      <c r="AD53" s="265">
        <f t="shared" si="1"/>
        <v>11408215</v>
      </c>
    </row>
    <row r="54" spans="1:30" s="178" customFormat="1" ht="12" thickBot="1">
      <c r="A54" s="175" t="s">
        <v>10</v>
      </c>
      <c r="B54" s="265">
        <v>-2294156</v>
      </c>
      <c r="C54" s="265">
        <v>-1247783</v>
      </c>
      <c r="D54" s="265">
        <v>-1263370</v>
      </c>
      <c r="E54" s="265">
        <v>-405539</v>
      </c>
      <c r="F54" s="265">
        <v>-785125</v>
      </c>
      <c r="G54" s="265">
        <v>-1394199</v>
      </c>
      <c r="H54" s="265">
        <v>-1461858</v>
      </c>
      <c r="I54" s="265">
        <v>301692</v>
      </c>
      <c r="J54" s="265">
        <v>745520</v>
      </c>
      <c r="K54" s="265">
        <v>179109</v>
      </c>
      <c r="L54" s="266">
        <v>587399</v>
      </c>
      <c r="M54" s="266">
        <v>841500</v>
      </c>
      <c r="N54" s="265">
        <v>915072</v>
      </c>
      <c r="O54" s="265">
        <v>736541</v>
      </c>
      <c r="P54" s="265">
        <v>760586</v>
      </c>
      <c r="Q54" s="265">
        <v>796257</v>
      </c>
      <c r="R54" s="265">
        <v>954659</v>
      </c>
      <c r="S54" s="265">
        <v>948475</v>
      </c>
      <c r="T54" s="265">
        <v>1147737</v>
      </c>
      <c r="U54" s="265">
        <v>1453800</v>
      </c>
      <c r="V54" s="265">
        <v>1384219</v>
      </c>
      <c r="W54" s="265">
        <f>W29+W35-W5-W6</f>
        <v>1500449</v>
      </c>
      <c r="X54" s="265">
        <f>X29+X35-X5-X6</f>
        <v>2932931</v>
      </c>
      <c r="Y54" s="265"/>
      <c r="Z54" s="265">
        <v>-405539</v>
      </c>
      <c r="AA54" s="265">
        <v>301692</v>
      </c>
      <c r="AB54" s="265">
        <v>841500</v>
      </c>
      <c r="AC54" s="265">
        <f t="shared" si="0"/>
        <v>796257</v>
      </c>
      <c r="AD54" s="265">
        <f t="shared" si="1"/>
        <v>1453800</v>
      </c>
    </row>
    <row r="55" spans="2:26" s="178" customFormat="1" ht="11.25">
      <c r="B55" s="201"/>
      <c r="C55" s="182"/>
      <c r="D55" s="182"/>
      <c r="E55" s="182"/>
      <c r="F55" s="182"/>
      <c r="G55" s="89"/>
      <c r="H55" s="89"/>
      <c r="I55" s="89"/>
      <c r="J55" s="182"/>
      <c r="K55" s="182"/>
      <c r="L55" s="279"/>
      <c r="M55" s="279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89"/>
    </row>
    <row r="56" spans="2:26" s="178" customFormat="1" ht="11.25">
      <c r="B56" s="280"/>
      <c r="C56" s="182"/>
      <c r="D56" s="182"/>
      <c r="E56" s="182"/>
      <c r="F56" s="182"/>
      <c r="G56" s="89"/>
      <c r="H56" s="89"/>
      <c r="I56" s="89"/>
      <c r="J56" s="182"/>
      <c r="K56" s="182"/>
      <c r="L56" s="279"/>
      <c r="M56" s="2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89"/>
    </row>
    <row r="57" spans="2:26" s="178" customFormat="1" ht="11.25">
      <c r="B57" s="201"/>
      <c r="C57" s="182"/>
      <c r="D57" s="182"/>
      <c r="E57" s="182"/>
      <c r="F57" s="182"/>
      <c r="G57" s="89"/>
      <c r="H57" s="89"/>
      <c r="I57" s="89"/>
      <c r="J57" s="182"/>
      <c r="K57" s="182"/>
      <c r="L57" s="279"/>
      <c r="M57" s="279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89"/>
    </row>
    <row r="58" spans="2:26" s="178" customFormat="1" ht="11.25">
      <c r="B58" s="201"/>
      <c r="C58" s="182"/>
      <c r="D58" s="182"/>
      <c r="E58" s="182"/>
      <c r="F58" s="182"/>
      <c r="G58" s="89"/>
      <c r="H58" s="89"/>
      <c r="I58" s="89"/>
      <c r="J58" s="182"/>
      <c r="K58" s="182"/>
      <c r="L58" s="279"/>
      <c r="M58" s="279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89"/>
    </row>
    <row r="59" spans="2:26" s="178" customFormat="1" ht="11.25">
      <c r="B59" s="201"/>
      <c r="C59" s="182"/>
      <c r="D59" s="182"/>
      <c r="E59" s="182"/>
      <c r="F59" s="182"/>
      <c r="G59" s="89"/>
      <c r="H59" s="89"/>
      <c r="I59" s="89"/>
      <c r="J59" s="182"/>
      <c r="K59" s="182"/>
      <c r="L59" s="279"/>
      <c r="M59" s="279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89"/>
    </row>
    <row r="60" spans="2:26" s="178" customFormat="1" ht="11.25">
      <c r="B60" s="201"/>
      <c r="C60" s="182"/>
      <c r="D60" s="182"/>
      <c r="E60" s="182"/>
      <c r="F60" s="182"/>
      <c r="G60" s="89"/>
      <c r="H60" s="89"/>
      <c r="I60" s="89"/>
      <c r="J60" s="182"/>
      <c r="K60" s="182"/>
      <c r="L60" s="279"/>
      <c r="M60" s="279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89"/>
    </row>
    <row r="61" spans="1:26" s="178" customFormat="1" ht="11.25">
      <c r="A61" s="89"/>
      <c r="B61" s="182"/>
      <c r="C61" s="182"/>
      <c r="D61" s="182"/>
      <c r="E61" s="182"/>
      <c r="F61" s="182"/>
      <c r="G61" s="89"/>
      <c r="H61" s="89"/>
      <c r="I61" s="89"/>
      <c r="J61" s="182"/>
      <c r="K61" s="182"/>
      <c r="L61" s="279"/>
      <c r="M61" s="279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89"/>
    </row>
    <row r="62" spans="1:26" s="178" customFormat="1" ht="11.25">
      <c r="A62" s="89"/>
      <c r="B62" s="182"/>
      <c r="C62" s="182"/>
      <c r="D62" s="182"/>
      <c r="E62" s="182"/>
      <c r="F62" s="182"/>
      <c r="G62" s="89"/>
      <c r="H62" s="89"/>
      <c r="I62" s="89"/>
      <c r="J62" s="182"/>
      <c r="K62" s="182"/>
      <c r="L62" s="279"/>
      <c r="M62" s="279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89"/>
    </row>
    <row r="63" spans="1:26" s="178" customFormat="1" ht="11.25">
      <c r="A63" s="89"/>
      <c r="B63" s="182"/>
      <c r="C63" s="182"/>
      <c r="D63" s="182"/>
      <c r="E63" s="182"/>
      <c r="F63" s="182"/>
      <c r="G63" s="89"/>
      <c r="H63" s="89"/>
      <c r="I63" s="89"/>
      <c r="J63" s="182"/>
      <c r="K63" s="182"/>
      <c r="L63" s="279"/>
      <c r="M63" s="279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89"/>
    </row>
    <row r="64" spans="2:26" s="178" customFormat="1" ht="11.25">
      <c r="B64" s="201"/>
      <c r="C64" s="182"/>
      <c r="D64" s="182"/>
      <c r="E64" s="182"/>
      <c r="F64" s="182"/>
      <c r="G64" s="89"/>
      <c r="H64" s="89"/>
      <c r="I64" s="89"/>
      <c r="J64" s="182"/>
      <c r="K64" s="182"/>
      <c r="L64" s="279"/>
      <c r="M64" s="279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89"/>
    </row>
    <row r="65" spans="1:26" ht="12.75">
      <c r="A65" s="81"/>
      <c r="C65" s="184"/>
      <c r="D65" s="184"/>
      <c r="E65" s="184"/>
      <c r="F65" s="184"/>
      <c r="G65" s="140"/>
      <c r="H65" s="140"/>
      <c r="I65" s="140"/>
      <c r="J65" s="184"/>
      <c r="K65" s="184"/>
      <c r="L65" s="282"/>
      <c r="M65" s="282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40"/>
    </row>
    <row r="66" spans="1:26" ht="12.75">
      <c r="A66" s="81"/>
      <c r="C66" s="184"/>
      <c r="D66" s="184"/>
      <c r="E66" s="184"/>
      <c r="F66" s="184"/>
      <c r="G66" s="140"/>
      <c r="H66" s="140"/>
      <c r="I66" s="140"/>
      <c r="J66" s="184"/>
      <c r="K66" s="184"/>
      <c r="L66" s="282"/>
      <c r="M66" s="282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40"/>
    </row>
    <row r="67" spans="1:26" ht="12.75">
      <c r="A67" s="81"/>
      <c r="C67" s="184"/>
      <c r="D67" s="184"/>
      <c r="E67" s="184"/>
      <c r="F67" s="184"/>
      <c r="G67" s="140"/>
      <c r="H67" s="140"/>
      <c r="I67" s="140"/>
      <c r="J67" s="184"/>
      <c r="K67" s="184"/>
      <c r="L67" s="282"/>
      <c r="M67" s="282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40"/>
    </row>
    <row r="68" spans="1:26" ht="12.75">
      <c r="A68" s="81"/>
      <c r="C68" s="184"/>
      <c r="D68" s="184"/>
      <c r="E68" s="184"/>
      <c r="F68" s="184"/>
      <c r="G68" s="140"/>
      <c r="H68" s="140"/>
      <c r="I68" s="140"/>
      <c r="J68" s="184"/>
      <c r="K68" s="184"/>
      <c r="L68" s="282"/>
      <c r="M68" s="282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40"/>
    </row>
    <row r="69" spans="1:26" ht="12.75">
      <c r="A69" s="81"/>
      <c r="C69" s="184"/>
      <c r="D69" s="184"/>
      <c r="E69" s="184"/>
      <c r="F69" s="184"/>
      <c r="G69" s="140"/>
      <c r="H69" s="140"/>
      <c r="I69" s="140"/>
      <c r="J69" s="184"/>
      <c r="K69" s="184"/>
      <c r="L69" s="282"/>
      <c r="M69" s="282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40"/>
    </row>
    <row r="70" spans="1:26" ht="12.75">
      <c r="A70" s="81"/>
      <c r="C70" s="184"/>
      <c r="D70" s="184"/>
      <c r="E70" s="184"/>
      <c r="F70" s="184"/>
      <c r="G70" s="140"/>
      <c r="H70" s="140"/>
      <c r="I70" s="140"/>
      <c r="J70" s="184"/>
      <c r="K70" s="184"/>
      <c r="L70" s="282"/>
      <c r="M70" s="282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40"/>
    </row>
    <row r="71" spans="1:26" ht="12.75">
      <c r="A71" s="81"/>
      <c r="C71" s="184"/>
      <c r="D71" s="184"/>
      <c r="E71" s="184"/>
      <c r="F71" s="184"/>
      <c r="G71" s="140"/>
      <c r="H71" s="140"/>
      <c r="I71" s="140"/>
      <c r="J71" s="184"/>
      <c r="K71" s="184"/>
      <c r="L71" s="282"/>
      <c r="M71" s="282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40"/>
    </row>
    <row r="72" spans="1:26" ht="12.75">
      <c r="A72" s="81"/>
      <c r="C72" s="184"/>
      <c r="D72" s="184"/>
      <c r="E72" s="184"/>
      <c r="F72" s="184"/>
      <c r="G72" s="140"/>
      <c r="H72" s="140"/>
      <c r="I72" s="140"/>
      <c r="J72" s="184"/>
      <c r="K72" s="184"/>
      <c r="L72" s="282"/>
      <c r="M72" s="282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40"/>
    </row>
    <row r="73" spans="1:26" ht="12.75">
      <c r="A73" s="81"/>
      <c r="C73" s="184"/>
      <c r="D73" s="184"/>
      <c r="E73" s="184"/>
      <c r="F73" s="184"/>
      <c r="G73" s="140"/>
      <c r="H73" s="140"/>
      <c r="I73" s="140"/>
      <c r="J73" s="184"/>
      <c r="K73" s="184"/>
      <c r="L73" s="282"/>
      <c r="M73" s="282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40"/>
    </row>
    <row r="74" spans="1:26" ht="12.75">
      <c r="A74" s="81"/>
      <c r="C74" s="184"/>
      <c r="D74" s="184"/>
      <c r="E74" s="184"/>
      <c r="F74" s="184"/>
      <c r="G74" s="140"/>
      <c r="H74" s="140"/>
      <c r="I74" s="140"/>
      <c r="J74" s="184"/>
      <c r="K74" s="184"/>
      <c r="L74" s="282"/>
      <c r="M74" s="282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40"/>
    </row>
    <row r="75" spans="1:26" ht="12.75">
      <c r="A75" s="140"/>
      <c r="C75" s="184"/>
      <c r="D75" s="184"/>
      <c r="E75" s="184"/>
      <c r="F75" s="184"/>
      <c r="G75" s="140"/>
      <c r="H75" s="140"/>
      <c r="I75" s="140"/>
      <c r="J75" s="184"/>
      <c r="K75" s="184"/>
      <c r="L75" s="282"/>
      <c r="M75" s="282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40"/>
    </row>
    <row r="76" spans="1:26" ht="12.75">
      <c r="A76" s="140"/>
      <c r="C76" s="184"/>
      <c r="D76" s="184"/>
      <c r="E76" s="184"/>
      <c r="F76" s="184"/>
      <c r="G76" s="140"/>
      <c r="H76" s="140"/>
      <c r="I76" s="140"/>
      <c r="J76" s="184"/>
      <c r="K76" s="184"/>
      <c r="L76" s="282"/>
      <c r="M76" s="282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40"/>
    </row>
    <row r="77" spans="1:26" ht="12.75">
      <c r="A77" s="81"/>
      <c r="C77" s="184"/>
      <c r="D77" s="184"/>
      <c r="E77" s="184"/>
      <c r="F77" s="184"/>
      <c r="G77" s="140"/>
      <c r="H77" s="140"/>
      <c r="I77" s="140"/>
      <c r="J77" s="184"/>
      <c r="K77" s="184"/>
      <c r="L77" s="282"/>
      <c r="M77" s="282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40"/>
    </row>
    <row r="78" spans="1:26" ht="12.75">
      <c r="A78" s="81"/>
      <c r="C78" s="184"/>
      <c r="D78" s="184"/>
      <c r="E78" s="184"/>
      <c r="F78" s="184"/>
      <c r="G78" s="140"/>
      <c r="H78" s="140"/>
      <c r="I78" s="140"/>
      <c r="J78" s="184"/>
      <c r="K78" s="184"/>
      <c r="L78" s="282"/>
      <c r="M78" s="282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40"/>
    </row>
    <row r="79" spans="1:26" ht="12.75">
      <c r="A79" s="81"/>
      <c r="C79" s="184"/>
      <c r="D79" s="184"/>
      <c r="E79" s="184"/>
      <c r="F79" s="184"/>
      <c r="G79" s="140"/>
      <c r="H79" s="140"/>
      <c r="I79" s="140"/>
      <c r="J79" s="184"/>
      <c r="K79" s="184"/>
      <c r="L79" s="282"/>
      <c r="M79" s="282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40"/>
    </row>
    <row r="80" spans="1:26" ht="12.75">
      <c r="A80" s="81"/>
      <c r="C80" s="184"/>
      <c r="D80" s="184"/>
      <c r="E80" s="184"/>
      <c r="F80" s="184"/>
      <c r="G80" s="140"/>
      <c r="H80" s="140"/>
      <c r="I80" s="140"/>
      <c r="J80" s="184"/>
      <c r="K80" s="184"/>
      <c r="L80" s="282"/>
      <c r="M80" s="282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40"/>
    </row>
    <row r="81" spans="1:26" ht="12.75">
      <c r="A81" s="81"/>
      <c r="C81" s="184"/>
      <c r="D81" s="184"/>
      <c r="E81" s="184"/>
      <c r="F81" s="184"/>
      <c r="G81" s="140"/>
      <c r="H81" s="140"/>
      <c r="I81" s="140"/>
      <c r="J81" s="184"/>
      <c r="K81" s="184"/>
      <c r="L81" s="282"/>
      <c r="M81" s="282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40"/>
    </row>
    <row r="82" spans="1:26" ht="12.75">
      <c r="A82" s="81"/>
      <c r="C82" s="184"/>
      <c r="D82" s="184"/>
      <c r="E82" s="184"/>
      <c r="F82" s="184"/>
      <c r="G82" s="140"/>
      <c r="H82" s="140"/>
      <c r="I82" s="140"/>
      <c r="J82" s="184"/>
      <c r="K82" s="184"/>
      <c r="L82" s="282"/>
      <c r="M82" s="282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40"/>
    </row>
    <row r="83" spans="1:26" ht="12.75">
      <c r="A83" s="81"/>
      <c r="C83" s="184"/>
      <c r="D83" s="184"/>
      <c r="E83" s="184"/>
      <c r="F83" s="184"/>
      <c r="G83" s="140"/>
      <c r="H83" s="140"/>
      <c r="I83" s="140"/>
      <c r="J83" s="184"/>
      <c r="K83" s="184"/>
      <c r="L83" s="282"/>
      <c r="M83" s="282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40"/>
    </row>
    <row r="84" spans="1:26" ht="12.75">
      <c r="A84" s="81"/>
      <c r="C84" s="184"/>
      <c r="D84" s="184"/>
      <c r="E84" s="184"/>
      <c r="F84" s="184"/>
      <c r="G84" s="140"/>
      <c r="H84" s="140"/>
      <c r="I84" s="140"/>
      <c r="J84" s="184"/>
      <c r="K84" s="184"/>
      <c r="L84" s="282"/>
      <c r="M84" s="282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40"/>
    </row>
    <row r="85" spans="1:26" ht="12.75">
      <c r="A85" s="81"/>
      <c r="C85" s="184"/>
      <c r="D85" s="184"/>
      <c r="E85" s="184"/>
      <c r="F85" s="184"/>
      <c r="G85" s="140"/>
      <c r="H85" s="140"/>
      <c r="I85" s="140"/>
      <c r="J85" s="184"/>
      <c r="K85" s="184"/>
      <c r="L85" s="282"/>
      <c r="M85" s="282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40"/>
    </row>
    <row r="86" spans="1:26" ht="12.75">
      <c r="A86" s="81"/>
      <c r="C86" s="184"/>
      <c r="D86" s="184"/>
      <c r="E86" s="184"/>
      <c r="F86" s="184"/>
      <c r="G86" s="140"/>
      <c r="H86" s="140"/>
      <c r="I86" s="140"/>
      <c r="J86" s="184"/>
      <c r="K86" s="184"/>
      <c r="L86" s="282"/>
      <c r="M86" s="282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40"/>
    </row>
    <row r="87" spans="1:26" ht="12.75">
      <c r="A87" s="81"/>
      <c r="C87" s="184"/>
      <c r="D87" s="184"/>
      <c r="E87" s="184"/>
      <c r="F87" s="184"/>
      <c r="G87" s="140"/>
      <c r="H87" s="140"/>
      <c r="I87" s="140"/>
      <c r="J87" s="184"/>
      <c r="K87" s="184"/>
      <c r="L87" s="282"/>
      <c r="M87" s="282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40"/>
    </row>
    <row r="88" spans="1:26" ht="12.75">
      <c r="A88" s="81"/>
      <c r="C88" s="184"/>
      <c r="D88" s="184"/>
      <c r="E88" s="184"/>
      <c r="F88" s="184"/>
      <c r="G88" s="140"/>
      <c r="H88" s="140"/>
      <c r="I88" s="140"/>
      <c r="J88" s="184"/>
      <c r="K88" s="184"/>
      <c r="L88" s="282"/>
      <c r="M88" s="282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40"/>
    </row>
    <row r="89" spans="1:26" ht="12.75">
      <c r="A89" s="81"/>
      <c r="C89" s="184"/>
      <c r="D89" s="184"/>
      <c r="E89" s="184"/>
      <c r="F89" s="184"/>
      <c r="G89" s="140"/>
      <c r="H89" s="140"/>
      <c r="I89" s="140"/>
      <c r="J89" s="184"/>
      <c r="K89" s="184"/>
      <c r="L89" s="282"/>
      <c r="M89" s="282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40"/>
    </row>
    <row r="90" spans="1:26" ht="12.75">
      <c r="A90" s="81"/>
      <c r="C90" s="184"/>
      <c r="D90" s="184"/>
      <c r="E90" s="184"/>
      <c r="F90" s="184"/>
      <c r="G90" s="140"/>
      <c r="H90" s="140"/>
      <c r="I90" s="140"/>
      <c r="J90" s="184"/>
      <c r="K90" s="184"/>
      <c r="L90" s="282"/>
      <c r="M90" s="282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40"/>
    </row>
    <row r="91" spans="1:26" ht="12.75">
      <c r="A91" s="81"/>
      <c r="C91" s="184"/>
      <c r="D91" s="184"/>
      <c r="E91" s="184"/>
      <c r="F91" s="184"/>
      <c r="G91" s="140"/>
      <c r="H91" s="140"/>
      <c r="I91" s="140"/>
      <c r="J91" s="184"/>
      <c r="K91" s="184"/>
      <c r="L91" s="282"/>
      <c r="M91" s="282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40"/>
    </row>
    <row r="92" spans="1:26" ht="12.75">
      <c r="A92" s="81"/>
      <c r="C92" s="184"/>
      <c r="D92" s="184"/>
      <c r="E92" s="184"/>
      <c r="F92" s="184"/>
      <c r="G92" s="140"/>
      <c r="H92" s="140"/>
      <c r="I92" s="140"/>
      <c r="J92" s="184"/>
      <c r="K92" s="184"/>
      <c r="L92" s="282"/>
      <c r="M92" s="282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40"/>
    </row>
    <row r="93" spans="1:26" ht="12.75">
      <c r="A93" s="81"/>
      <c r="C93" s="184"/>
      <c r="D93" s="184"/>
      <c r="E93" s="184"/>
      <c r="F93" s="184"/>
      <c r="G93" s="140"/>
      <c r="H93" s="140"/>
      <c r="I93" s="140"/>
      <c r="J93" s="184"/>
      <c r="K93" s="184"/>
      <c r="L93" s="282"/>
      <c r="M93" s="282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40"/>
    </row>
    <row r="94" spans="1:26" ht="12.75">
      <c r="A94" s="81"/>
      <c r="C94" s="184"/>
      <c r="D94" s="184"/>
      <c r="E94" s="184"/>
      <c r="F94" s="184"/>
      <c r="G94" s="140"/>
      <c r="H94" s="140"/>
      <c r="I94" s="140"/>
      <c r="J94" s="184"/>
      <c r="K94" s="184"/>
      <c r="L94" s="282"/>
      <c r="M94" s="282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40"/>
    </row>
    <row r="95" spans="1:26" ht="12.75">
      <c r="A95" s="81"/>
      <c r="C95" s="184"/>
      <c r="D95" s="184"/>
      <c r="E95" s="184"/>
      <c r="F95" s="184"/>
      <c r="G95" s="140"/>
      <c r="H95" s="140"/>
      <c r="I95" s="140"/>
      <c r="J95" s="184"/>
      <c r="K95" s="184"/>
      <c r="L95" s="282"/>
      <c r="M95" s="282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40"/>
    </row>
    <row r="96" spans="1:26" ht="12.75">
      <c r="A96" s="81"/>
      <c r="C96" s="184"/>
      <c r="D96" s="184"/>
      <c r="E96" s="184"/>
      <c r="F96" s="184"/>
      <c r="G96" s="140"/>
      <c r="H96" s="140"/>
      <c r="I96" s="140"/>
      <c r="J96" s="184"/>
      <c r="K96" s="184"/>
      <c r="L96" s="282"/>
      <c r="M96" s="282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40"/>
    </row>
    <row r="97" spans="1:26" ht="12.75">
      <c r="A97" s="81"/>
      <c r="C97" s="184"/>
      <c r="D97" s="184"/>
      <c r="E97" s="184"/>
      <c r="F97" s="184"/>
      <c r="G97" s="140"/>
      <c r="H97" s="140"/>
      <c r="I97" s="140"/>
      <c r="J97" s="184"/>
      <c r="K97" s="184"/>
      <c r="L97" s="282"/>
      <c r="M97" s="282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40"/>
    </row>
    <row r="98" spans="1:26" ht="12.75">
      <c r="A98" s="81"/>
      <c r="C98" s="184"/>
      <c r="D98" s="184"/>
      <c r="E98" s="184"/>
      <c r="F98" s="184"/>
      <c r="G98" s="140"/>
      <c r="H98" s="140"/>
      <c r="I98" s="140"/>
      <c r="J98" s="184"/>
      <c r="K98" s="184"/>
      <c r="L98" s="282"/>
      <c r="M98" s="282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40"/>
    </row>
    <row r="99" spans="1:26" ht="12.75">
      <c r="A99" s="81"/>
      <c r="C99" s="184"/>
      <c r="D99" s="184"/>
      <c r="E99" s="184"/>
      <c r="F99" s="184"/>
      <c r="G99" s="140"/>
      <c r="H99" s="140"/>
      <c r="I99" s="140"/>
      <c r="J99" s="184"/>
      <c r="K99" s="184"/>
      <c r="L99" s="282"/>
      <c r="M99" s="282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40"/>
    </row>
    <row r="100" spans="1:26" ht="12.75">
      <c r="A100" s="81"/>
      <c r="C100" s="184"/>
      <c r="D100" s="184"/>
      <c r="E100" s="184"/>
      <c r="F100" s="184"/>
      <c r="G100" s="140"/>
      <c r="H100" s="140"/>
      <c r="I100" s="140"/>
      <c r="J100" s="184"/>
      <c r="K100" s="184"/>
      <c r="L100" s="282"/>
      <c r="M100" s="282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40"/>
    </row>
    <row r="101" spans="1:26" ht="12.75">
      <c r="A101" s="81"/>
      <c r="C101" s="184"/>
      <c r="D101" s="184"/>
      <c r="E101" s="184"/>
      <c r="F101" s="184"/>
      <c r="G101" s="140"/>
      <c r="H101" s="140"/>
      <c r="I101" s="140"/>
      <c r="J101" s="184"/>
      <c r="K101" s="184"/>
      <c r="L101" s="282"/>
      <c r="M101" s="282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40"/>
    </row>
    <row r="102" spans="1:26" ht="12.75">
      <c r="A102" s="81"/>
      <c r="C102" s="184"/>
      <c r="D102" s="184"/>
      <c r="E102" s="184"/>
      <c r="F102" s="184"/>
      <c r="G102" s="140"/>
      <c r="H102" s="140"/>
      <c r="I102" s="140"/>
      <c r="J102" s="184"/>
      <c r="K102" s="184"/>
      <c r="L102" s="282"/>
      <c r="M102" s="282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40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  <row r="108" ht="12.75">
      <c r="A108" s="81"/>
    </row>
    <row r="109" ht="12.75">
      <c r="A109" s="81"/>
    </row>
    <row r="110" ht="12.75">
      <c r="A110" s="81"/>
    </row>
    <row r="111" ht="12.75">
      <c r="A111" s="81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  <row r="116" ht="12.75">
      <c r="A116" s="81"/>
    </row>
    <row r="117" ht="12.75">
      <c r="A117" s="81"/>
    </row>
    <row r="118" ht="12.75">
      <c r="A118" s="81"/>
    </row>
    <row r="119" ht="12.75">
      <c r="A119" s="81"/>
    </row>
    <row r="120" ht="12.75">
      <c r="A120" s="81"/>
    </row>
    <row r="121" ht="12.75">
      <c r="A121" s="81"/>
    </row>
    <row r="122" ht="12.75">
      <c r="A122" s="81"/>
    </row>
    <row r="123" ht="12.75">
      <c r="A123" s="81"/>
    </row>
    <row r="124" ht="12.75">
      <c r="A124" s="81"/>
    </row>
    <row r="125" ht="12.75">
      <c r="A125" s="81"/>
    </row>
    <row r="126" ht="12.75">
      <c r="A126" s="81"/>
    </row>
    <row r="127" ht="12.75">
      <c r="A127" s="81"/>
    </row>
    <row r="128" ht="12.75">
      <c r="A128" s="81"/>
    </row>
    <row r="129" ht="12.75">
      <c r="A129" s="81"/>
    </row>
    <row r="130" ht="12.75">
      <c r="A130" s="81"/>
    </row>
    <row r="131" ht="12.75">
      <c r="A131" s="81"/>
    </row>
    <row r="132" ht="12.75">
      <c r="A132" s="81"/>
    </row>
    <row r="133" ht="12.75">
      <c r="A133" s="81"/>
    </row>
    <row r="134" ht="12.75">
      <c r="A134" s="81"/>
    </row>
    <row r="135" ht="12.75">
      <c r="A135" s="81"/>
    </row>
    <row r="136" ht="12.75">
      <c r="A136" s="81"/>
    </row>
    <row r="137" ht="12.75">
      <c r="A137" s="81"/>
    </row>
    <row r="138" ht="12.75">
      <c r="A138" s="81"/>
    </row>
    <row r="139" ht="12.75">
      <c r="A139" s="81"/>
    </row>
    <row r="140" ht="12.75">
      <c r="A140" s="81"/>
    </row>
    <row r="141" ht="12.75">
      <c r="A141" s="81"/>
    </row>
    <row r="142" ht="12.75">
      <c r="A142" s="81"/>
    </row>
    <row r="143" ht="12.75">
      <c r="A143" s="81"/>
    </row>
    <row r="144" ht="12.75">
      <c r="A144" s="81"/>
    </row>
    <row r="145" ht="12.75">
      <c r="A145" s="81"/>
    </row>
    <row r="146" ht="12.75">
      <c r="A146" s="81"/>
    </row>
    <row r="147" ht="12.75">
      <c r="A147" s="81"/>
    </row>
    <row r="148" ht="12.75">
      <c r="A148" s="81"/>
    </row>
    <row r="149" ht="12.75">
      <c r="A149" s="81"/>
    </row>
    <row r="150" ht="12.75">
      <c r="A150" s="81"/>
    </row>
    <row r="151" ht="12.75">
      <c r="A151" s="81"/>
    </row>
    <row r="152" ht="12.75">
      <c r="A152" s="81"/>
    </row>
    <row r="153" ht="12.75">
      <c r="A153" s="81"/>
    </row>
    <row r="154" ht="12.75">
      <c r="A154" s="81"/>
    </row>
    <row r="155" ht="12.75">
      <c r="A155" s="81"/>
    </row>
    <row r="156" ht="12.75">
      <c r="A156" s="81"/>
    </row>
    <row r="157" ht="12.75">
      <c r="A157" s="81"/>
    </row>
    <row r="158" ht="12.75">
      <c r="A158" s="81"/>
    </row>
    <row r="159" ht="12.75">
      <c r="A159" s="81"/>
    </row>
    <row r="160" ht="12.75">
      <c r="A160" s="81"/>
    </row>
    <row r="161" ht="12.75">
      <c r="A161" s="81"/>
    </row>
    <row r="162" ht="12.75">
      <c r="A162" s="81"/>
    </row>
    <row r="163" ht="12.75">
      <c r="A163" s="81"/>
    </row>
    <row r="164" ht="12.75">
      <c r="A164" s="81"/>
    </row>
    <row r="165" ht="12.75">
      <c r="A165" s="81"/>
    </row>
    <row r="166" ht="12.75">
      <c r="A166" s="81"/>
    </row>
    <row r="167" ht="12.75">
      <c r="A167" s="81"/>
    </row>
    <row r="168" ht="12.75">
      <c r="A168" s="81"/>
    </row>
    <row r="169" ht="12.75">
      <c r="A169" s="81"/>
    </row>
    <row r="170" ht="12.75">
      <c r="A170" s="81"/>
    </row>
    <row r="171" ht="12.75">
      <c r="A171" s="81"/>
    </row>
    <row r="172" ht="12.75">
      <c r="A172" s="81"/>
    </row>
    <row r="173" ht="12.75">
      <c r="A173" s="81"/>
    </row>
    <row r="174" ht="12.75">
      <c r="A174" s="81"/>
    </row>
    <row r="175" ht="12.75">
      <c r="A175" s="81"/>
    </row>
    <row r="176" ht="12.75">
      <c r="A176" s="81"/>
    </row>
    <row r="177" ht="12.75">
      <c r="A177" s="81"/>
    </row>
    <row r="178" ht="12.75">
      <c r="A178" s="81"/>
    </row>
    <row r="179" ht="12.75">
      <c r="A179" s="81"/>
    </row>
    <row r="180" ht="12.75">
      <c r="A180" s="81"/>
    </row>
    <row r="181" ht="12.75">
      <c r="A181" s="8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tabSelected="1" view="pageBreakPreview" zoomScaleSheetLayoutView="100" zoomScalePageLayoutView="0" workbookViewId="0" topLeftCell="A1">
      <selection activeCell="U29" sqref="U29"/>
    </sheetView>
  </sheetViews>
  <sheetFormatPr defaultColWidth="9.140625" defaultRowHeight="12.75" outlineLevelRow="1" outlineLevelCol="1"/>
  <cols>
    <col min="1" max="1" width="39.140625" style="81" customWidth="1"/>
    <col min="2" max="7" width="6.7109375" style="322" hidden="1" customWidth="1" outlineLevel="1"/>
    <col min="8" max="9" width="6.7109375" style="323" hidden="1" customWidth="1" outlineLevel="1"/>
    <col min="10" max="10" width="6.7109375" style="322" hidden="1" customWidth="1" outlineLevel="1"/>
    <col min="11" max="12" width="7.28125" style="322" hidden="1" customWidth="1" outlineLevel="1"/>
    <col min="13" max="13" width="7.28125" style="322" customWidth="1" collapsed="1"/>
    <col min="14" max="15" width="7.28125" style="322" customWidth="1"/>
    <col min="16" max="25" width="6.7109375" style="325" customWidth="1"/>
    <col min="26" max="26" width="6.7109375" style="323" customWidth="1"/>
    <col min="27" max="29" width="7.00390625" style="81" customWidth="1"/>
    <col min="30" max="31" width="7.421875" style="81" customWidth="1"/>
    <col min="32" max="16384" width="9.140625" style="81" customWidth="1"/>
  </cols>
  <sheetData>
    <row r="1" spans="1:26" ht="12.75">
      <c r="A1" s="284" t="s">
        <v>16</v>
      </c>
      <c r="B1" s="285"/>
      <c r="C1" s="285"/>
      <c r="D1" s="285"/>
      <c r="E1" s="285"/>
      <c r="F1" s="285"/>
      <c r="G1" s="285"/>
      <c r="H1" s="286"/>
      <c r="I1" s="286"/>
      <c r="J1" s="285"/>
      <c r="K1" s="285"/>
      <c r="L1" s="285"/>
      <c r="M1" s="285"/>
      <c r="N1" s="285"/>
      <c r="O1" s="285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6"/>
    </row>
    <row r="3" spans="1:31" ht="12.75">
      <c r="A3" s="288" t="s">
        <v>14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5" t="s">
        <v>188</v>
      </c>
      <c r="K3" s="85" t="s">
        <v>191</v>
      </c>
      <c r="L3" s="85" t="s">
        <v>193</v>
      </c>
      <c r="M3" s="85" t="s">
        <v>194</v>
      </c>
      <c r="N3" s="85" t="s">
        <v>201</v>
      </c>
      <c r="O3" s="85" t="s">
        <v>211</v>
      </c>
      <c r="P3" s="85" t="s">
        <v>215</v>
      </c>
      <c r="Q3" s="85" t="s">
        <v>217</v>
      </c>
      <c r="R3" s="85" t="s">
        <v>219</v>
      </c>
      <c r="S3" s="85" t="s">
        <v>241</v>
      </c>
      <c r="T3" s="85" t="s">
        <v>246</v>
      </c>
      <c r="U3" s="85" t="s">
        <v>247</v>
      </c>
      <c r="V3" s="85" t="s">
        <v>251</v>
      </c>
      <c r="W3" s="85" t="s">
        <v>252</v>
      </c>
      <c r="X3" s="85" t="s">
        <v>254</v>
      </c>
      <c r="Y3" s="289"/>
      <c r="Z3" s="86">
        <v>2005</v>
      </c>
      <c r="AA3" s="86">
        <v>2006</v>
      </c>
      <c r="AB3" s="86">
        <v>2007</v>
      </c>
      <c r="AC3" s="86">
        <v>2008</v>
      </c>
      <c r="AD3" s="85">
        <v>2009</v>
      </c>
      <c r="AE3" s="85">
        <v>2010</v>
      </c>
    </row>
    <row r="4" spans="1:31" ht="12.75">
      <c r="A4" s="89" t="s">
        <v>5</v>
      </c>
      <c r="B4" s="115">
        <v>0.40849128043658084</v>
      </c>
      <c r="C4" s="115">
        <v>0.4167129231683114</v>
      </c>
      <c r="D4" s="115">
        <v>0.4432030234092982</v>
      </c>
      <c r="E4" s="115">
        <v>0.4475414866122196</v>
      </c>
      <c r="F4" s="115">
        <v>0.4148635043761563</v>
      </c>
      <c r="G4" s="115">
        <v>0.4287891730826618</v>
      </c>
      <c r="H4" s="115">
        <v>0.4387553856177116</v>
      </c>
      <c r="I4" s="115">
        <v>0.4321839145979025</v>
      </c>
      <c r="J4" s="115">
        <v>0.36316131664159507</v>
      </c>
      <c r="K4" s="115">
        <v>0.3797118982612053</v>
      </c>
      <c r="L4" s="104">
        <v>0.41699254358479515</v>
      </c>
      <c r="M4" s="104">
        <v>0.3879035387041303</v>
      </c>
      <c r="N4" s="104">
        <f>'P&amp;L'!N55/'P&amp;L'!N3</f>
        <v>0.1520529240114248</v>
      </c>
      <c r="O4" s="104">
        <f>'P&amp;L'!O55/'P&amp;L'!O3</f>
        <v>0.16663399401684517</v>
      </c>
      <c r="P4" s="104">
        <f>'P&amp;L'!P55/'P&amp;L'!P3</f>
        <v>0.2119285206149541</v>
      </c>
      <c r="Q4" s="104">
        <f>'P&amp;L'!Q55/'P&amp;L'!Q3</f>
        <v>0.23522372939602387</v>
      </c>
      <c r="R4" s="104">
        <f>'P&amp;L'!R55/'P&amp;L'!R3</f>
        <v>0.22760836600013432</v>
      </c>
      <c r="S4" s="104">
        <f>'P&amp;L'!S55/'P&amp;L'!S3</f>
        <v>0.30120151731268724</v>
      </c>
      <c r="T4" s="104">
        <f>'P&amp;L'!T55/'P&amp;L'!T3</f>
        <v>0.3049502057312878</v>
      </c>
      <c r="U4" s="104">
        <f>'P&amp;L'!U55/'P&amp;L'!U3</f>
        <v>0.2812507334672295</v>
      </c>
      <c r="V4" s="104">
        <f>'P&amp;L'!V55/'P&amp;L'!V3</f>
        <v>0.24795262832583967</v>
      </c>
      <c r="W4" s="104">
        <f>'P&amp;L'!W55/'P&amp;L'!W3</f>
        <v>0.2662339254972482</v>
      </c>
      <c r="X4" s="104">
        <f>'P&amp;L'!X55/'P&amp;L'!X3</f>
        <v>0.2189845969800753</v>
      </c>
      <c r="Y4" s="115"/>
      <c r="Z4" s="115">
        <v>0.47747820630073634</v>
      </c>
      <c r="AA4" s="115">
        <v>0.4475414866122196</v>
      </c>
      <c r="AB4" s="115">
        <v>0.4321839145979025</v>
      </c>
      <c r="AC4" s="115">
        <v>0.3879035387041303</v>
      </c>
      <c r="AD4" s="104">
        <f aca="true" t="shared" si="0" ref="AD4:AD13">Q4</f>
        <v>0.23522372939602387</v>
      </c>
      <c r="AE4" s="104">
        <f>U4</f>
        <v>0.2812507334672295</v>
      </c>
    </row>
    <row r="5" spans="1:31" ht="12.75">
      <c r="A5" s="89" t="s">
        <v>6</v>
      </c>
      <c r="B5" s="115">
        <v>0.34634328571073664</v>
      </c>
      <c r="C5" s="115">
        <v>0.36260284777447543</v>
      </c>
      <c r="D5" s="115">
        <v>0.39114564323060824</v>
      </c>
      <c r="E5" s="115">
        <v>0.37106916158378994</v>
      </c>
      <c r="F5" s="115">
        <v>0.3657630190507643</v>
      </c>
      <c r="G5" s="115">
        <v>0.3835119707825736</v>
      </c>
      <c r="H5" s="115">
        <v>0.3933817648975567</v>
      </c>
      <c r="I5" s="115">
        <v>0.3884372723573502</v>
      </c>
      <c r="J5" s="115">
        <v>0.32993039443155453</v>
      </c>
      <c r="K5" s="115">
        <v>0.35177618661720955</v>
      </c>
      <c r="L5" s="104">
        <v>0.3921652816054794</v>
      </c>
      <c r="M5" s="104">
        <v>0.3471610981803815</v>
      </c>
      <c r="N5" s="104">
        <f>'P&amp;L'!N17/'P&amp;L'!N3</f>
        <v>0.07661718700466859</v>
      </c>
      <c r="O5" s="104">
        <f>'P&amp;L'!O17/'P&amp;L'!O3</f>
        <v>0.07909526532704936</v>
      </c>
      <c r="P5" s="104">
        <f>'P&amp;L'!P17/'P&amp;L'!P3</f>
        <v>0.125896954475854</v>
      </c>
      <c r="Q5" s="104">
        <f>'P&amp;L'!Q17/'P&amp;L'!Q3</f>
        <v>0.1452664907136034</v>
      </c>
      <c r="R5" s="104">
        <f>'P&amp;L'!R17/'P&amp;L'!R3</f>
        <v>0.15579913776140805</v>
      </c>
      <c r="S5" s="104">
        <f>'P&amp;L'!S17/'P&amp;L'!S3</f>
        <v>0.23127936575166982</v>
      </c>
      <c r="T5" s="104">
        <f>'P&amp;L'!T17/'P&amp;L'!T3</f>
        <v>0.24002060271148512</v>
      </c>
      <c r="U5" s="104">
        <f>'P&amp;L'!U17/'P&amp;L'!U3</f>
        <v>0.21490170700876138</v>
      </c>
      <c r="V5" s="104">
        <f>'P&amp;L'!V17/'P&amp;L'!V3</f>
        <v>0.1964531442490879</v>
      </c>
      <c r="W5" s="104">
        <f>'P&amp;L'!W17/'P&amp;L'!W3</f>
        <v>0.21578069870786132</v>
      </c>
      <c r="X5" s="104">
        <f>'P&amp;L'!X17/'P&amp;L'!X3</f>
        <v>0.1640867783108862</v>
      </c>
      <c r="Y5" s="115"/>
      <c r="Z5" s="115">
        <v>0.4214135635812008</v>
      </c>
      <c r="AA5" s="115">
        <v>0.37106916158378994</v>
      </c>
      <c r="AB5" s="115">
        <v>0.3884372723573502</v>
      </c>
      <c r="AC5" s="115">
        <v>0.3471610981803815</v>
      </c>
      <c r="AD5" s="104">
        <f t="shared" si="0"/>
        <v>0.1452664907136034</v>
      </c>
      <c r="AE5" s="104">
        <f aca="true" t="shared" si="1" ref="AE5:AE32">U5</f>
        <v>0.21490170700876138</v>
      </c>
    </row>
    <row r="6" spans="1:31" ht="12.75">
      <c r="A6" s="290" t="s">
        <v>17</v>
      </c>
      <c r="B6" s="291">
        <v>0.5022989320110526</v>
      </c>
      <c r="C6" s="291">
        <v>0.3712787447604923</v>
      </c>
      <c r="D6" s="291">
        <v>0.39316993094924485</v>
      </c>
      <c r="E6" s="291">
        <v>0.3417286053964644</v>
      </c>
      <c r="F6" s="291">
        <v>0.26089925184239665</v>
      </c>
      <c r="G6" s="291">
        <v>0.29508359334888484</v>
      </c>
      <c r="H6" s="291">
        <v>0.29887565847758846</v>
      </c>
      <c r="I6" s="291">
        <v>0.29113424547363986</v>
      </c>
      <c r="J6" s="291">
        <v>0.26249713163866295</v>
      </c>
      <c r="K6" s="291">
        <v>0.2601828535376884</v>
      </c>
      <c r="L6" s="101">
        <v>0.2862449528713355</v>
      </c>
      <c r="M6" s="101">
        <v>0.1947864802647072</v>
      </c>
      <c r="N6" s="101">
        <f>'P&amp;L'!N50/'P&amp;L'!N3</f>
        <v>-0.19459285593887388</v>
      </c>
      <c r="O6" s="101">
        <f>'P&amp;L'!O50/'P&amp;L'!O3</f>
        <v>-0.12380459667450423</v>
      </c>
      <c r="P6" s="101">
        <f>'P&amp;L'!P50/'P&amp;L'!P3</f>
        <v>-0.040492392374132755</v>
      </c>
      <c r="Q6" s="101">
        <f>'P&amp;L'!Q50/'P&amp;L'!Q3</f>
        <v>0.01597682045051259</v>
      </c>
      <c r="R6" s="101">
        <f>'P&amp;L'!R50/'P&amp;L'!R3</f>
        <v>0.06358980159557734</v>
      </c>
      <c r="S6" s="101">
        <f>'P&amp;L'!S50/'P&amp;L'!S3</f>
        <v>0.1454597407612724</v>
      </c>
      <c r="T6" s="101">
        <f>'P&amp;L'!T50/'P&amp;L'!T3</f>
        <v>0.17778549119454312</v>
      </c>
      <c r="U6" s="101">
        <f>'P&amp;L'!U50/'P&amp;L'!U3</f>
        <v>0.14657106165818917</v>
      </c>
      <c r="V6" s="101">
        <f>'P&amp;L'!V50/'P&amp;L'!V3</f>
        <v>0.16147549809697662</v>
      </c>
      <c r="W6" s="101">
        <f>'P&amp;L'!W50/'P&amp;L'!W3</f>
        <v>0.18194488260475983</v>
      </c>
      <c r="X6" s="101">
        <f>'P&amp;L'!X50/'P&amp;L'!X3</f>
        <v>0.13738765713476833</v>
      </c>
      <c r="Y6" s="133"/>
      <c r="Z6" s="291">
        <v>0.315689269588277</v>
      </c>
      <c r="AA6" s="291">
        <v>0.3417286053964644</v>
      </c>
      <c r="AB6" s="291">
        <v>0.29113424547363986</v>
      </c>
      <c r="AC6" s="291">
        <v>0.1947864802647072</v>
      </c>
      <c r="AD6" s="101">
        <f t="shared" si="0"/>
        <v>0.01597682045051259</v>
      </c>
      <c r="AE6" s="101">
        <f t="shared" si="1"/>
        <v>0.14657106165818917</v>
      </c>
    </row>
    <row r="7" spans="1:31" ht="12.75">
      <c r="A7" s="89" t="s">
        <v>229</v>
      </c>
      <c r="B7" s="292">
        <v>159.4</v>
      </c>
      <c r="C7" s="292">
        <v>163.4</v>
      </c>
      <c r="D7" s="292">
        <v>167.2</v>
      </c>
      <c r="E7" s="292">
        <v>169.2</v>
      </c>
      <c r="F7" s="292">
        <v>196.5</v>
      </c>
      <c r="G7" s="292">
        <v>203</v>
      </c>
      <c r="H7" s="292">
        <v>213</v>
      </c>
      <c r="I7" s="292">
        <v>221</v>
      </c>
      <c r="J7" s="292">
        <v>282</v>
      </c>
      <c r="K7" s="292">
        <v>309</v>
      </c>
      <c r="L7" s="107">
        <v>329</v>
      </c>
      <c r="M7" s="107">
        <v>347</v>
      </c>
      <c r="N7" s="107">
        <v>243</v>
      </c>
      <c r="O7" s="107">
        <v>220</v>
      </c>
      <c r="P7" s="107">
        <v>213</v>
      </c>
      <c r="Q7" s="107">
        <v>240</v>
      </c>
      <c r="R7" s="107">
        <v>286</v>
      </c>
      <c r="S7" s="107">
        <v>325</v>
      </c>
      <c r="T7" s="107">
        <v>330</v>
      </c>
      <c r="U7" s="107">
        <v>318</v>
      </c>
      <c r="V7" s="107">
        <v>361</v>
      </c>
      <c r="W7" s="107">
        <v>406</v>
      </c>
      <c r="X7" s="107">
        <v>405</v>
      </c>
      <c r="Y7" s="292"/>
      <c r="Z7" s="292">
        <v>173</v>
      </c>
      <c r="AA7" s="292">
        <v>169.2</v>
      </c>
      <c r="AB7" s="292">
        <v>221</v>
      </c>
      <c r="AC7" s="292">
        <v>347</v>
      </c>
      <c r="AD7" s="107">
        <f t="shared" si="0"/>
        <v>240</v>
      </c>
      <c r="AE7" s="107">
        <f t="shared" si="1"/>
        <v>318</v>
      </c>
    </row>
    <row r="8" spans="1:31" s="137" customFormat="1" ht="12.75">
      <c r="A8" s="293" t="s">
        <v>184</v>
      </c>
      <c r="B8" s="112">
        <v>164.3380943350931</v>
      </c>
      <c r="C8" s="112">
        <v>200.76045467705714</v>
      </c>
      <c r="D8" s="112">
        <v>246.165208856495</v>
      </c>
      <c r="E8" s="112">
        <v>245.8393133572294</v>
      </c>
      <c r="F8" s="112">
        <v>273.4404470237401</v>
      </c>
      <c r="G8" s="112">
        <v>304.69041162603116</v>
      </c>
      <c r="H8" s="112">
        <v>322.0446384942898</v>
      </c>
      <c r="I8" s="112">
        <v>326.72670807453414</v>
      </c>
      <c r="J8" s="112">
        <v>270.2443438914027</v>
      </c>
      <c r="K8" s="112">
        <v>351.275627970129</v>
      </c>
      <c r="L8" s="112">
        <v>432.34549405306495</v>
      </c>
      <c r="M8" s="142">
        <v>386.8071164615795</v>
      </c>
      <c r="N8" s="142">
        <f>'P&amp;L'!N17/N38</f>
        <v>46.40872180070493</v>
      </c>
      <c r="O8" s="142">
        <f>'P&amp;L'!O17/O38</f>
        <v>42.72337733032724</v>
      </c>
      <c r="P8" s="142">
        <f>'P&amp;L'!P17/P38</f>
        <v>70.46402691511388</v>
      </c>
      <c r="Q8" s="142">
        <f>'P&amp;L'!Q17/Q38</f>
        <v>84.03250423968343</v>
      </c>
      <c r="R8" s="142">
        <f>'P&amp;L'!R17/R38</f>
        <v>97.36955872025784</v>
      </c>
      <c r="S8" s="142">
        <f>'P&amp;L'!S17/S38</f>
        <v>159.24749058643184</v>
      </c>
      <c r="T8" s="142">
        <f>'P&amp;L'!T17/T38</f>
        <v>170.65453839390773</v>
      </c>
      <c r="U8" s="142">
        <f>'P&amp;L'!U17/U38</f>
        <v>155.41612540053694</v>
      </c>
      <c r="V8" s="142">
        <f>'P&amp;L'!V17/V38</f>
        <v>159.48588810968445</v>
      </c>
      <c r="W8" s="142">
        <f>'P&amp;L'!W17/W38</f>
        <v>195.27347569625616</v>
      </c>
      <c r="X8" s="142">
        <f>'P&amp;L'!X17/X38</f>
        <v>161.81204586312663</v>
      </c>
      <c r="Y8" s="107"/>
      <c r="Z8" s="112">
        <v>217.7638167217761</v>
      </c>
      <c r="AA8" s="112">
        <v>245.8393133572294</v>
      </c>
      <c r="AB8" s="112">
        <v>326.72670807453414</v>
      </c>
      <c r="AC8" s="142">
        <v>386.8071164615795</v>
      </c>
      <c r="AD8" s="142">
        <f t="shared" si="0"/>
        <v>84.03250423968343</v>
      </c>
      <c r="AE8" s="142">
        <f t="shared" si="1"/>
        <v>155.41612540053694</v>
      </c>
    </row>
    <row r="9" spans="1:31" ht="12.75">
      <c r="A9" s="294" t="s">
        <v>166</v>
      </c>
      <c r="B9" s="133">
        <v>0.5627217689096128</v>
      </c>
      <c r="C9" s="133">
        <v>0.36670785298814534</v>
      </c>
      <c r="D9" s="133">
        <v>0.39232662762074527</v>
      </c>
      <c r="E9" s="133">
        <v>0.29200993643087075</v>
      </c>
      <c r="F9" s="133">
        <v>0.2498629594279194</v>
      </c>
      <c r="G9" s="133">
        <v>0.3040825201233599</v>
      </c>
      <c r="H9" s="133">
        <v>0.29431705497912775</v>
      </c>
      <c r="I9" s="133">
        <v>0.22505230780755053</v>
      </c>
      <c r="J9" s="133">
        <v>0.2162932292817861</v>
      </c>
      <c r="K9" s="133">
        <v>0.26885516369776663</v>
      </c>
      <c r="L9" s="133">
        <v>0.31224917637470206</v>
      </c>
      <c r="M9" s="133">
        <f>'P&amp;L'!M53/'Balance Sheet'!M53</f>
        <v>0.23107579376813375</v>
      </c>
      <c r="N9" s="133">
        <f>'P&amp;L'!N53*4/'Balance Sheet'!N53</f>
        <v>-0.09003391235093813</v>
      </c>
      <c r="O9" s="133">
        <f>'P&amp;L'!O53*2/'Balance Sheet'!O53</f>
        <v>-0.053858557792952254</v>
      </c>
      <c r="P9" s="133">
        <f>'P&amp;L'!P53/3*4/'Balance Sheet'!P53</f>
        <v>-0.011075955292044977</v>
      </c>
      <c r="Q9" s="133">
        <f>'P&amp;L'!Q53/'Balance Sheet'!Q53</f>
        <v>0.02193894555340405</v>
      </c>
      <c r="R9" s="133">
        <f>'P&amp;L'!R53*4/'Balance Sheet'!R53</f>
        <v>0.05119509278042794</v>
      </c>
      <c r="S9" s="133">
        <f>'P&amp;L'!S53*2/'Balance Sheet'!S53</f>
        <v>0.11642054162143126</v>
      </c>
      <c r="T9" s="133">
        <f>'P&amp;L'!T53/3*4/'Balance Sheet'!T53</f>
        <v>0.13444895383693975</v>
      </c>
      <c r="U9" s="133">
        <f>'P&amp;L'!U53/'Balance Sheet'!U53</f>
        <v>0.11001221488199513</v>
      </c>
      <c r="V9" s="133">
        <f>'P&amp;L'!V53*4/'Balance Sheet'!V53</f>
        <v>0.12621476179547114</v>
      </c>
      <c r="W9" s="133">
        <f>'P&amp;L'!W53*2/'Balance Sheet'!W53</f>
        <v>0.14810685354387768</v>
      </c>
      <c r="X9" s="133">
        <f>'P&amp;L'!X53*2/'Balance Sheet'!X53</f>
        <v>0.17566183197638105</v>
      </c>
      <c r="Y9" s="133"/>
      <c r="Z9" s="133">
        <v>0.3829551358145574</v>
      </c>
      <c r="AA9" s="133">
        <v>0.29200993643087075</v>
      </c>
      <c r="AB9" s="133">
        <v>0.22505230780755053</v>
      </c>
      <c r="AC9" s="133">
        <v>0.23107579376813375</v>
      </c>
      <c r="AD9" s="133">
        <f t="shared" si="0"/>
        <v>0.02193894555340405</v>
      </c>
      <c r="AE9" s="133">
        <f t="shared" si="1"/>
        <v>0.11001221488199513</v>
      </c>
    </row>
    <row r="10" spans="1:31" ht="12.75">
      <c r="A10" s="294" t="s">
        <v>37</v>
      </c>
      <c r="B10" s="133">
        <v>0.3350240941081743</v>
      </c>
      <c r="C10" s="133">
        <v>0.27789686617572146</v>
      </c>
      <c r="D10" s="133">
        <v>0.30982043095302364</v>
      </c>
      <c r="E10" s="133">
        <v>0.2767995424284959</v>
      </c>
      <c r="F10" s="133">
        <v>0.202698360300789</v>
      </c>
      <c r="G10" s="133">
        <v>0.2349846148380898</v>
      </c>
      <c r="H10" s="133">
        <v>0.23602419970317762</v>
      </c>
      <c r="I10" s="133">
        <v>0.2062396193408028</v>
      </c>
      <c r="J10" s="133">
        <v>0.1797762095788447</v>
      </c>
      <c r="K10" s="133">
        <v>0.2172266619384744</v>
      </c>
      <c r="L10" s="133">
        <v>0.2486366824029531</v>
      </c>
      <c r="M10" s="133">
        <v>0.16792199987693654</v>
      </c>
      <c r="N10" s="133">
        <v>-0.05995607486938327</v>
      </c>
      <c r="O10" s="133">
        <v>-0.03680067111107324</v>
      </c>
      <c r="P10" s="133">
        <v>-0.00795765645342902</v>
      </c>
      <c r="Q10" s="133">
        <v>0.016189955519874826</v>
      </c>
      <c r="R10" s="133">
        <v>0.04122090665877872</v>
      </c>
      <c r="S10" s="133">
        <v>0.09305171469308046</v>
      </c>
      <c r="T10" s="133">
        <v>0.11184287681741226</v>
      </c>
      <c r="U10" s="133">
        <v>0.09507552544756975</v>
      </c>
      <c r="V10" s="133">
        <v>0.10805691497817553</v>
      </c>
      <c r="W10" s="133">
        <v>0.13124548569560154</v>
      </c>
      <c r="X10" s="133">
        <v>0.103640284263429</v>
      </c>
      <c r="Y10" s="133"/>
      <c r="Z10" s="133">
        <v>0.24285202199564468</v>
      </c>
      <c r="AA10" s="133">
        <v>0.2767995424284959</v>
      </c>
      <c r="AB10" s="133">
        <v>0.2062396193408028</v>
      </c>
      <c r="AC10" s="133">
        <v>0.16792199987693654</v>
      </c>
      <c r="AD10" s="133">
        <f t="shared" si="0"/>
        <v>0.016189955519874826</v>
      </c>
      <c r="AE10" s="133">
        <f t="shared" si="1"/>
        <v>0.09507552544756975</v>
      </c>
    </row>
    <row r="11" spans="1:31" ht="12.75">
      <c r="A11" s="295" t="s">
        <v>167</v>
      </c>
      <c r="B11" s="291">
        <v>0.40199050110281687</v>
      </c>
      <c r="C11" s="291">
        <v>0.34438175459235426</v>
      </c>
      <c r="D11" s="291">
        <v>0.39278722372951774</v>
      </c>
      <c r="E11" s="291">
        <v>0.34652421683243856</v>
      </c>
      <c r="F11" s="291">
        <v>0.25696335046124075</v>
      </c>
      <c r="G11" s="291">
        <v>0.2930679124717667</v>
      </c>
      <c r="H11" s="291">
        <v>0.2933277974841973</v>
      </c>
      <c r="I11" s="291">
        <v>0.28444868553347946</v>
      </c>
      <c r="J11" s="291">
        <v>0.25958491455057797</v>
      </c>
      <c r="K11" s="291">
        <v>0.3124807642267154</v>
      </c>
      <c r="L11" s="291">
        <v>0.3766272357993437</v>
      </c>
      <c r="M11" s="291">
        <v>0.2577542629301813</v>
      </c>
      <c r="N11" s="291">
        <v>-0.09593953791035711</v>
      </c>
      <c r="O11" s="291">
        <v>-0.05823129753956282</v>
      </c>
      <c r="P11" s="291">
        <v>-0.01228678420854814</v>
      </c>
      <c r="Q11" s="291">
        <v>0.024707362996376818</v>
      </c>
      <c r="R11" s="291">
        <v>0.05922821339598735</v>
      </c>
      <c r="S11" s="291">
        <v>0.1338561845378543</v>
      </c>
      <c r="T11" s="291">
        <v>0.16146241260190597</v>
      </c>
      <c r="U11" s="291">
        <v>0.13647180917958407</v>
      </c>
      <c r="V11" s="291">
        <v>0.15374562597612432</v>
      </c>
      <c r="W11" s="291">
        <v>0.18576913106192816</v>
      </c>
      <c r="X11" s="291">
        <v>0.16244832883752</v>
      </c>
      <c r="Y11" s="133"/>
      <c r="Z11" s="291">
        <v>0.29596144217343695</v>
      </c>
      <c r="AA11" s="291">
        <v>0.34652421683243856</v>
      </c>
      <c r="AB11" s="291">
        <v>0.28444868553347946</v>
      </c>
      <c r="AC11" s="291">
        <v>0.2577542629301813</v>
      </c>
      <c r="AD11" s="291">
        <f t="shared" si="0"/>
        <v>0.024707362996376818</v>
      </c>
      <c r="AE11" s="291">
        <f t="shared" si="1"/>
        <v>0.13647180917958407</v>
      </c>
    </row>
    <row r="12" spans="1:31" ht="12.75">
      <c r="A12" s="294" t="s">
        <v>168</v>
      </c>
      <c r="B12" s="296">
        <v>0</v>
      </c>
      <c r="C12" s="296">
        <v>0.02712153558961927</v>
      </c>
      <c r="D12" s="296">
        <v>0.02092728256401911</v>
      </c>
      <c r="E12" s="296">
        <v>0.04360636304707493</v>
      </c>
      <c r="F12" s="296">
        <v>0.020233464716194655</v>
      </c>
      <c r="G12" s="296">
        <v>0.011786830853340565</v>
      </c>
      <c r="H12" s="296">
        <v>0.008599359246808646</v>
      </c>
      <c r="I12" s="296">
        <v>0.17903458265338795</v>
      </c>
      <c r="J12" s="296">
        <v>0.20941753102853206</v>
      </c>
      <c r="K12" s="296">
        <v>0.15892539880725604</v>
      </c>
      <c r="L12" s="296">
        <v>0.31641922382885435</v>
      </c>
      <c r="M12" s="296">
        <f>('Balance Sheet'!M29+'Balance Sheet'!M35)/'Balance Sheet'!M43</f>
        <v>0.3463278177402014</v>
      </c>
      <c r="N12" s="296">
        <f>('Balance Sheet'!N29+'Balance Sheet'!N35)/'Balance Sheet'!N43</f>
        <v>0.37466983227961603</v>
      </c>
      <c r="O12" s="296">
        <f>('Balance Sheet'!O29+'Balance Sheet'!O35)/'Balance Sheet'!O43</f>
        <v>0.34944518704624017</v>
      </c>
      <c r="P12" s="296">
        <f>('Balance Sheet'!P29+'Balance Sheet'!P35)/'Balance Sheet'!P43</f>
        <v>0.298097617217525</v>
      </c>
      <c r="Q12" s="296">
        <f>('Balance Sheet'!Q29+'Balance Sheet'!Q35)/'Balance Sheet'!Q43</f>
        <v>0.2862075230649622</v>
      </c>
      <c r="R12" s="296">
        <f>('Balance Sheet'!R29+'Balance Sheet'!R35)/'Balance Sheet'!R43</f>
        <v>0.28022620206724674</v>
      </c>
      <c r="S12" s="296">
        <f>('Balance Sheet'!S29+'Balance Sheet'!S35)/'Balance Sheet'!S43</f>
        <v>0.26547374010934643</v>
      </c>
      <c r="T12" s="296">
        <f>('Balance Sheet'!T29+'Balance Sheet'!T35)/'Balance Sheet'!T43</f>
        <v>0.27764913172547684</v>
      </c>
      <c r="U12" s="296">
        <f>('Balance Sheet'!U29+'Balance Sheet'!U35)/'Balance Sheet'!U43</f>
        <v>0.2712719668861611</v>
      </c>
      <c r="V12" s="296">
        <f>('Balance Sheet'!V29+'Balance Sheet'!V35)/'Balance Sheet'!V43</f>
        <v>0.24453535990682101</v>
      </c>
      <c r="W12" s="296">
        <f>('Balance Sheet'!W29+'Balance Sheet'!W35)/'Balance Sheet'!W43</f>
        <v>0.22900814988841914</v>
      </c>
      <c r="X12" s="296">
        <f>('Balance Sheet'!X29+'Balance Sheet'!X35)/'Balance Sheet'!X43</f>
        <v>0.37868232385465345</v>
      </c>
      <c r="Y12" s="296"/>
      <c r="Z12" s="296">
        <v>0.009897985619247332</v>
      </c>
      <c r="AA12" s="296">
        <v>0.04360636304707493</v>
      </c>
      <c r="AB12" s="296">
        <v>0.17903458265338795</v>
      </c>
      <c r="AC12" s="296">
        <v>0.3463278177402014</v>
      </c>
      <c r="AD12" s="296">
        <f t="shared" si="0"/>
        <v>0.2862075230649622</v>
      </c>
      <c r="AE12" s="296">
        <f t="shared" si="1"/>
        <v>0.2712719668861611</v>
      </c>
    </row>
    <row r="13" spans="1:31" ht="12.75">
      <c r="A13" s="295" t="s">
        <v>11</v>
      </c>
      <c r="B13" s="297" t="s">
        <v>161</v>
      </c>
      <c r="C13" s="297" t="s">
        <v>161</v>
      </c>
      <c r="D13" s="297" t="s">
        <v>161</v>
      </c>
      <c r="E13" s="297" t="s">
        <v>161</v>
      </c>
      <c r="F13" s="297" t="s">
        <v>161</v>
      </c>
      <c r="G13" s="297" t="s">
        <v>161</v>
      </c>
      <c r="H13" s="297" t="s">
        <v>161</v>
      </c>
      <c r="I13" s="298">
        <v>0.0904337879422815</v>
      </c>
      <c r="J13" s="298">
        <v>0.21808701716449433</v>
      </c>
      <c r="K13" s="298">
        <v>0.040085646031317604</v>
      </c>
      <c r="L13" s="299">
        <v>0.10959588144668303</v>
      </c>
      <c r="M13" s="299">
        <v>0.18543607336525375</v>
      </c>
      <c r="N13" s="299">
        <v>0.23584372446032764</v>
      </c>
      <c r="O13" s="299">
        <v>0.26931855411959493</v>
      </c>
      <c r="P13" s="299">
        <v>0.5300797573547655</v>
      </c>
      <c r="Q13" s="299">
        <v>0.5513294452687868</v>
      </c>
      <c r="R13" s="299">
        <v>0.5842655851138379</v>
      </c>
      <c r="S13" s="299">
        <v>0.4363095473577391</v>
      </c>
      <c r="T13" s="299">
        <v>0.48161532525505657</v>
      </c>
      <c r="U13" s="299">
        <v>0.6189928358966454</v>
      </c>
      <c r="V13" s="299">
        <v>0.5434293920521107</v>
      </c>
      <c r="W13" s="299">
        <v>0.5748670538834059</v>
      </c>
      <c r="X13" s="400">
        <v>1.225701043939052</v>
      </c>
      <c r="Y13" s="300"/>
      <c r="Z13" s="297" t="s">
        <v>161</v>
      </c>
      <c r="AA13" s="297" t="s">
        <v>161</v>
      </c>
      <c r="AB13" s="298">
        <v>0.0904337879422815</v>
      </c>
      <c r="AC13" s="298">
        <v>0.18543607336525375</v>
      </c>
      <c r="AD13" s="299">
        <f t="shared" si="0"/>
        <v>0.5513294452687868</v>
      </c>
      <c r="AE13" s="299">
        <f t="shared" si="1"/>
        <v>0.6189928358966454</v>
      </c>
    </row>
    <row r="14" spans="1:31" ht="12.75">
      <c r="A14" s="294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1"/>
      <c r="Z14" s="301"/>
      <c r="AA14" s="301"/>
      <c r="AB14" s="301"/>
      <c r="AC14" s="301"/>
      <c r="AD14" s="301"/>
      <c r="AE14" s="301">
        <f t="shared" si="1"/>
        <v>0</v>
      </c>
    </row>
    <row r="15" spans="1:31" ht="12.75">
      <c r="A15" s="303" t="s">
        <v>15</v>
      </c>
      <c r="B15" s="85" t="s">
        <v>7</v>
      </c>
      <c r="C15" s="86" t="s">
        <v>26</v>
      </c>
      <c r="D15" s="86" t="s">
        <v>27</v>
      </c>
      <c r="E15" s="86" t="s">
        <v>28</v>
      </c>
      <c r="F15" s="85" t="s">
        <v>0</v>
      </c>
      <c r="G15" s="85" t="s">
        <v>25</v>
      </c>
      <c r="H15" s="86" t="s">
        <v>24</v>
      </c>
      <c r="I15" s="86" t="s">
        <v>153</v>
      </c>
      <c r="J15" s="85" t="s">
        <v>188</v>
      </c>
      <c r="K15" s="85" t="s">
        <v>191</v>
      </c>
      <c r="L15" s="85" t="s">
        <v>193</v>
      </c>
      <c r="M15" s="85" t="s">
        <v>194</v>
      </c>
      <c r="N15" s="85" t="s">
        <v>201</v>
      </c>
      <c r="O15" s="85" t="s">
        <v>211</v>
      </c>
      <c r="P15" s="85" t="s">
        <v>215</v>
      </c>
      <c r="Q15" s="85" t="s">
        <v>217</v>
      </c>
      <c r="R15" s="85" t="s">
        <v>219</v>
      </c>
      <c r="S15" s="85" t="s">
        <v>241</v>
      </c>
      <c r="T15" s="85" t="s">
        <v>246</v>
      </c>
      <c r="U15" s="85" t="s">
        <v>247</v>
      </c>
      <c r="V15" s="85" t="s">
        <v>251</v>
      </c>
      <c r="W15" s="85" t="s">
        <v>252</v>
      </c>
      <c r="X15" s="85" t="s">
        <v>254</v>
      </c>
      <c r="Y15" s="289"/>
      <c r="Z15" s="86">
        <v>2005</v>
      </c>
      <c r="AA15" s="86">
        <v>2006</v>
      </c>
      <c r="AB15" s="86">
        <v>2007</v>
      </c>
      <c r="AC15" s="86">
        <v>2008</v>
      </c>
      <c r="AD15" s="86">
        <v>2009</v>
      </c>
      <c r="AE15" s="85">
        <v>2010</v>
      </c>
    </row>
    <row r="16" spans="1:31" s="140" customFormat="1" ht="12.75">
      <c r="A16" s="304" t="s">
        <v>243</v>
      </c>
      <c r="B16" s="305">
        <v>2.05</v>
      </c>
      <c r="C16" s="305">
        <v>2.2</v>
      </c>
      <c r="D16" s="305">
        <v>1.935</v>
      </c>
      <c r="E16" s="305">
        <v>2.325</v>
      </c>
      <c r="F16" s="305">
        <v>2.941</v>
      </c>
      <c r="G16" s="305">
        <v>2.935</v>
      </c>
      <c r="H16" s="305">
        <v>3.395</v>
      </c>
      <c r="I16" s="305">
        <v>4.09</v>
      </c>
      <c r="J16" s="305">
        <v>4.295</v>
      </c>
      <c r="K16" s="305">
        <v>5.7</v>
      </c>
      <c r="L16" s="306">
        <v>1.857</v>
      </c>
      <c r="M16" s="306">
        <v>1.02</v>
      </c>
      <c r="N16" s="306">
        <v>1.19</v>
      </c>
      <c r="O16" s="306">
        <v>2.589</v>
      </c>
      <c r="P16" s="306">
        <v>2.545</v>
      </c>
      <c r="Q16" s="306">
        <v>3.07</v>
      </c>
      <c r="R16" s="306">
        <v>3.456</v>
      </c>
      <c r="S16" s="306">
        <v>2.6</v>
      </c>
      <c r="T16" s="306">
        <v>3.6</v>
      </c>
      <c r="U16" s="306">
        <v>4.7700000000000005</v>
      </c>
      <c r="V16" s="306">
        <v>4.4</v>
      </c>
      <c r="W16" s="306">
        <v>3.89</v>
      </c>
      <c r="X16" s="306">
        <v>2.048</v>
      </c>
      <c r="Y16" s="141"/>
      <c r="Z16" s="305">
        <v>1.43</v>
      </c>
      <c r="AA16" s="305">
        <v>2.325</v>
      </c>
      <c r="AB16" s="306">
        <v>4.09</v>
      </c>
      <c r="AC16" s="306">
        <v>1.02</v>
      </c>
      <c r="AD16" s="306">
        <f aca="true" t="shared" si="2" ref="AD16:AD25">Q16</f>
        <v>3.07</v>
      </c>
      <c r="AE16" s="306">
        <f t="shared" si="1"/>
        <v>4.7700000000000005</v>
      </c>
    </row>
    <row r="17" spans="1:31" s="140" customFormat="1" ht="12.75">
      <c r="A17" s="290" t="s">
        <v>169</v>
      </c>
      <c r="B17" s="307">
        <v>1.840328125</v>
      </c>
      <c r="C17" s="307">
        <v>2.164431608606558</v>
      </c>
      <c r="D17" s="307">
        <v>2.0714913880091905</v>
      </c>
      <c r="E17" s="307">
        <v>2.1713460213539877</v>
      </c>
      <c r="F17" s="307">
        <v>2.5265</v>
      </c>
      <c r="G17" s="307">
        <v>2.8122554347826108</v>
      </c>
      <c r="H17" s="307">
        <v>3.1746694132772317</v>
      </c>
      <c r="I17" s="307">
        <v>3.986286767884701</v>
      </c>
      <c r="J17" s="307">
        <v>4.168</v>
      </c>
      <c r="K17" s="307">
        <v>4.574280219780222</v>
      </c>
      <c r="L17" s="308">
        <v>4.322</v>
      </c>
      <c r="M17" s="308">
        <v>3.49</v>
      </c>
      <c r="N17" s="308">
        <v>1.141</v>
      </c>
      <c r="O17" s="308">
        <v>1.537</v>
      </c>
      <c r="P17" s="308">
        <v>1.786</v>
      </c>
      <c r="Q17" s="308">
        <v>2.065</v>
      </c>
      <c r="R17" s="308">
        <v>3.21</v>
      </c>
      <c r="S17" s="308">
        <v>3.18994</v>
      </c>
      <c r="T17" s="308">
        <v>3.15815</v>
      </c>
      <c r="U17" s="308">
        <v>3.35</v>
      </c>
      <c r="V17" s="308">
        <v>4.516813186813185</v>
      </c>
      <c r="W17" s="308">
        <v>4.168491712707183</v>
      </c>
      <c r="X17" s="308">
        <v>3.83</v>
      </c>
      <c r="Y17" s="141"/>
      <c r="Z17" s="307">
        <v>1.4384615384615385</v>
      </c>
      <c r="AA17" s="307">
        <v>2.1713460213539877</v>
      </c>
      <c r="AB17" s="308">
        <v>3.986286767884701</v>
      </c>
      <c r="AC17" s="308">
        <v>3.49</v>
      </c>
      <c r="AD17" s="308">
        <f t="shared" si="2"/>
        <v>2.065</v>
      </c>
      <c r="AE17" s="308">
        <f t="shared" si="1"/>
        <v>3.35</v>
      </c>
    </row>
    <row r="18" spans="1:31" ht="12.75">
      <c r="A18" s="103" t="s">
        <v>244</v>
      </c>
      <c r="B18" s="118">
        <v>11029.504710307827</v>
      </c>
      <c r="C18" s="118">
        <v>12971.930674554747</v>
      </c>
      <c r="D18" s="118">
        <v>12414.918933132181</v>
      </c>
      <c r="E18" s="118">
        <v>13013.370601982666</v>
      </c>
      <c r="F18" s="118">
        <v>15141.888519999999</v>
      </c>
      <c r="G18" s="118">
        <v>16854.485995869567</v>
      </c>
      <c r="H18" s="118">
        <v>19026.515373073868</v>
      </c>
      <c r="I18" s="118">
        <v>23890.722481430905</v>
      </c>
      <c r="J18" s="118">
        <v>24982.6690912088</v>
      </c>
      <c r="K18" s="118">
        <v>27414.700798351645</v>
      </c>
      <c r="L18" s="108">
        <v>25902.72813128</v>
      </c>
      <c r="M18" s="108">
        <v>20916.363067600003</v>
      </c>
      <c r="N18" s="108">
        <v>6840</v>
      </c>
      <c r="O18" s="108">
        <v>9212.28</v>
      </c>
      <c r="P18" s="108">
        <v>10375</v>
      </c>
      <c r="Q18" s="108">
        <v>12173</v>
      </c>
      <c r="R18" s="108">
        <v>19065</v>
      </c>
      <c r="S18" s="108">
        <v>19118</v>
      </c>
      <c r="T18" s="108">
        <v>18907</v>
      </c>
      <c r="U18" s="108">
        <v>20086.5</v>
      </c>
      <c r="V18" s="108">
        <v>27070.2879912088</v>
      </c>
      <c r="W18" s="108">
        <v>24982.7181254144</v>
      </c>
      <c r="X18" s="108">
        <v>22936.84892</v>
      </c>
      <c r="Y18" s="118"/>
      <c r="Z18" s="118">
        <v>8621.026876</v>
      </c>
      <c r="AA18" s="118">
        <v>13013.370601982666</v>
      </c>
      <c r="AB18" s="118">
        <v>23890.722481430905</v>
      </c>
      <c r="AC18" s="118">
        <v>20916.363067600003</v>
      </c>
      <c r="AD18" s="108">
        <f t="shared" si="2"/>
        <v>12173</v>
      </c>
      <c r="AE18" s="108">
        <f t="shared" si="1"/>
        <v>20086.5</v>
      </c>
    </row>
    <row r="19" spans="1:31" ht="12.75">
      <c r="A19" s="103" t="s">
        <v>185</v>
      </c>
      <c r="B19" s="118">
        <v>12286.115842</v>
      </c>
      <c r="C19" s="118">
        <v>13185.099928000001</v>
      </c>
      <c r="D19" s="118">
        <v>11596.894709400001</v>
      </c>
      <c r="E19" s="118">
        <v>13934.253333</v>
      </c>
      <c r="F19" s="118">
        <v>17626.08131284</v>
      </c>
      <c r="G19" s="118">
        <v>17590.1219494</v>
      </c>
      <c r="H19" s="118">
        <v>20347.006479800002</v>
      </c>
      <c r="I19" s="118">
        <v>24512.2994116</v>
      </c>
      <c r="J19" s="118">
        <v>25740.9121</v>
      </c>
      <c r="K19" s="118">
        <v>34161.3945</v>
      </c>
      <c r="L19" s="108">
        <v>11129.42298468</v>
      </c>
      <c r="M19" s="108">
        <v>6113.0917848</v>
      </c>
      <c r="N19" s="108">
        <v>7131</v>
      </c>
      <c r="O19" s="108">
        <v>12286</v>
      </c>
      <c r="P19" s="108">
        <v>15252</v>
      </c>
      <c r="Q19" s="108">
        <v>18099</v>
      </c>
      <c r="R19" s="108">
        <v>20627</v>
      </c>
      <c r="S19" s="108">
        <v>15582</v>
      </c>
      <c r="T19" s="108">
        <v>21575.6172</v>
      </c>
      <c r="U19" s="108">
        <v>28587.6953</v>
      </c>
      <c r="V19" s="108">
        <v>26370.1992</v>
      </c>
      <c r="W19" s="108">
        <v>23313.6543</v>
      </c>
      <c r="X19" s="108">
        <v>12274.1289</v>
      </c>
      <c r="Y19" s="118"/>
      <c r="Z19" s="118">
        <v>8570.3149532</v>
      </c>
      <c r="AA19" s="118">
        <v>13934.253333</v>
      </c>
      <c r="AB19" s="118">
        <v>24512.2994116</v>
      </c>
      <c r="AC19" s="118">
        <v>6113.0917848</v>
      </c>
      <c r="AD19" s="108">
        <f t="shared" si="2"/>
        <v>18099</v>
      </c>
      <c r="AE19" s="108">
        <f t="shared" si="1"/>
        <v>28587.6953</v>
      </c>
    </row>
    <row r="20" spans="1:31" ht="12.75">
      <c r="A20" s="294" t="s">
        <v>148</v>
      </c>
      <c r="B20" s="309">
        <v>-2294.156</v>
      </c>
      <c r="C20" s="309">
        <v>-1247.783</v>
      </c>
      <c r="D20" s="309">
        <v>-1263.37</v>
      </c>
      <c r="E20" s="309">
        <v>-405.539</v>
      </c>
      <c r="F20" s="309">
        <v>-785.125</v>
      </c>
      <c r="G20" s="309">
        <v>-1394.199</v>
      </c>
      <c r="H20" s="309">
        <v>-1461.858</v>
      </c>
      <c r="I20" s="309">
        <v>301.692</v>
      </c>
      <c r="J20" s="309">
        <v>745.52</v>
      </c>
      <c r="K20" s="309">
        <v>179.109</v>
      </c>
      <c r="L20" s="310">
        <v>587.399</v>
      </c>
      <c r="M20" s="310">
        <v>841.5</v>
      </c>
      <c r="N20" s="310">
        <f>'Balance Sheet'!N54/1000</f>
        <v>915.072</v>
      </c>
      <c r="O20" s="310">
        <f>'Balance Sheet'!O54/1000</f>
        <v>736.541</v>
      </c>
      <c r="P20" s="310">
        <f>'Balance Sheet'!P54/1000</f>
        <v>760.586</v>
      </c>
      <c r="Q20" s="310">
        <f>'Balance Sheet'!Q54/1000</f>
        <v>796.257</v>
      </c>
      <c r="R20" s="310">
        <f>'Balance Sheet'!R54/1000</f>
        <v>954.659</v>
      </c>
      <c r="S20" s="310">
        <f>'Balance Sheet'!S54/1000</f>
        <v>948.475</v>
      </c>
      <c r="T20" s="310">
        <f>'Balance Sheet'!T54/1000</f>
        <v>1147.737</v>
      </c>
      <c r="U20" s="310">
        <f>'Balance Sheet'!U54/1000</f>
        <v>1453.8</v>
      </c>
      <c r="V20" s="310">
        <f>'Balance Sheet'!V54/1000</f>
        <v>1384.219</v>
      </c>
      <c r="W20" s="310">
        <f>'Balance Sheet'!W54/1000</f>
        <v>1500.449</v>
      </c>
      <c r="X20" s="310">
        <v>2932.931</v>
      </c>
      <c r="Y20" s="309"/>
      <c r="Z20" s="309">
        <v>-1900.565</v>
      </c>
      <c r="AA20" s="309">
        <v>-405.539</v>
      </c>
      <c r="AB20" s="309">
        <v>301.692</v>
      </c>
      <c r="AC20" s="309">
        <v>841.5</v>
      </c>
      <c r="AD20" s="310">
        <f t="shared" si="2"/>
        <v>796.257</v>
      </c>
      <c r="AE20" s="310">
        <f t="shared" si="1"/>
        <v>1453.8</v>
      </c>
    </row>
    <row r="21" spans="1:31" ht="12.75">
      <c r="A21" s="99" t="s">
        <v>21</v>
      </c>
      <c r="B21" s="311">
        <v>9991.959842</v>
      </c>
      <c r="C21" s="311">
        <v>11937.316928000002</v>
      </c>
      <c r="D21" s="311">
        <v>10333.5247094</v>
      </c>
      <c r="E21" s="311">
        <v>13528.714333</v>
      </c>
      <c r="F21" s="311">
        <v>16840.95631284</v>
      </c>
      <c r="G21" s="311">
        <v>16195.9229494</v>
      </c>
      <c r="H21" s="311">
        <v>18885.148479800002</v>
      </c>
      <c r="I21" s="311">
        <v>24813.9914116</v>
      </c>
      <c r="J21" s="311">
        <v>26486.4321</v>
      </c>
      <c r="K21" s="311">
        <v>34340.5035</v>
      </c>
      <c r="L21" s="311">
        <v>11716.82198468</v>
      </c>
      <c r="M21" s="311">
        <v>6954.5917848</v>
      </c>
      <c r="N21" s="311">
        <f aca="true" t="shared" si="3" ref="N21:T21">N19+N20</f>
        <v>8046.072</v>
      </c>
      <c r="O21" s="311">
        <f t="shared" si="3"/>
        <v>13022.541</v>
      </c>
      <c r="P21" s="311">
        <f t="shared" si="3"/>
        <v>16012.586</v>
      </c>
      <c r="Q21" s="311">
        <f t="shared" si="3"/>
        <v>18895.257</v>
      </c>
      <c r="R21" s="311">
        <f t="shared" si="3"/>
        <v>21581.659</v>
      </c>
      <c r="S21" s="311">
        <f t="shared" si="3"/>
        <v>16530.475</v>
      </c>
      <c r="T21" s="311">
        <f t="shared" si="3"/>
        <v>22723.3542</v>
      </c>
      <c r="U21" s="311">
        <f>U19+U20</f>
        <v>30041.4953</v>
      </c>
      <c r="V21" s="311">
        <f>V19+V20</f>
        <v>27754.4182</v>
      </c>
      <c r="W21" s="311">
        <f>W19+W20</f>
        <v>24814.1033</v>
      </c>
      <c r="X21" s="311">
        <f>X19+X20</f>
        <v>15207.0599</v>
      </c>
      <c r="Y21" s="118"/>
      <c r="Z21" s="311">
        <v>6669.7499532</v>
      </c>
      <c r="AA21" s="311">
        <v>13528.714333</v>
      </c>
      <c r="AB21" s="311">
        <v>24813.9914116</v>
      </c>
      <c r="AC21" s="311">
        <v>6954.5917848</v>
      </c>
      <c r="AD21" s="311">
        <f t="shared" si="2"/>
        <v>18895.257</v>
      </c>
      <c r="AE21" s="311">
        <f t="shared" si="1"/>
        <v>30041.4953</v>
      </c>
    </row>
    <row r="22" spans="1:31" ht="12.75">
      <c r="A22" s="304" t="s">
        <v>171</v>
      </c>
      <c r="B22" s="305">
        <v>0.9593367262343284</v>
      </c>
      <c r="C22" s="305">
        <v>1.0021645700188735</v>
      </c>
      <c r="D22" s="305">
        <v>1.0771420374175567</v>
      </c>
      <c r="E22" s="305">
        <v>1.1857346159963058</v>
      </c>
      <c r="F22" s="305">
        <v>1.260789837830344</v>
      </c>
      <c r="G22" s="305">
        <v>1.3043443351899335</v>
      </c>
      <c r="H22" s="305">
        <v>1.3898059703806591</v>
      </c>
      <c r="I22" s="305">
        <v>1.7688843715527127</v>
      </c>
      <c r="J22" s="305">
        <v>2.0272067975183266</v>
      </c>
      <c r="K22" s="305">
        <v>2.050545308540645</v>
      </c>
      <c r="L22" s="305">
        <v>2.31641241756086</v>
      </c>
      <c r="M22" s="305">
        <f>'Balance Sheet'!M23/5993227.24</f>
        <v>2.3467369810593066</v>
      </c>
      <c r="N22" s="305">
        <f>'Balance Sheet'!N23/5993227.24</f>
        <v>1.968422775839883</v>
      </c>
      <c r="O22" s="305">
        <f>'Balance Sheet'!O23/5993227.24</f>
        <v>2.058898570980933</v>
      </c>
      <c r="P22" s="305">
        <f>'Balance Sheet'!P23/5993227.24</f>
        <v>2.077369253898005</v>
      </c>
      <c r="Q22" s="305">
        <f>'Balance Sheet'!Q23/5993227.24</f>
        <v>2.08601200978323</v>
      </c>
      <c r="R22" s="305">
        <f>'Balance Sheet'!R23/5993227.24</f>
        <v>2.1739512750395895</v>
      </c>
      <c r="S22" s="305">
        <f>'Balance Sheet'!S23/5993227.24</f>
        <v>2.146271196618268</v>
      </c>
      <c r="T22" s="305">
        <f>'Balance Sheet'!T23/5993227.24</f>
        <v>2.3159825990512584</v>
      </c>
      <c r="U22" s="305">
        <f>'Balance Sheet'!U23/5993227.24</f>
        <v>2.3191219760924664</v>
      </c>
      <c r="V22" s="305">
        <f>'Balance Sheet'!V23/5993227.24</f>
        <v>2.527933681353287</v>
      </c>
      <c r="W22" s="305">
        <f>'Balance Sheet'!W23/5993227.24</f>
        <v>2.6614267007169246</v>
      </c>
      <c r="X22" s="305">
        <f>'Balance Sheet'!X23/5993227.24</f>
        <v>2.8505700377881884</v>
      </c>
      <c r="Y22" s="141"/>
      <c r="Z22" s="305">
        <v>1.0362552179816895</v>
      </c>
      <c r="AA22" s="305">
        <v>1.4544734666192967</v>
      </c>
      <c r="AB22" s="305">
        <v>2.1817864526691966</v>
      </c>
      <c r="AC22" s="305">
        <f>M22</f>
        <v>2.3467369810593066</v>
      </c>
      <c r="AD22" s="305">
        <f t="shared" si="2"/>
        <v>2.08601200978323</v>
      </c>
      <c r="AE22" s="305">
        <f t="shared" si="1"/>
        <v>2.3191219760924664</v>
      </c>
    </row>
    <row r="23" spans="1:31" ht="12.75">
      <c r="A23" s="89" t="s">
        <v>12</v>
      </c>
      <c r="B23" s="312">
        <v>0.09108665133811945</v>
      </c>
      <c r="C23" s="312">
        <v>0.15747525702028944</v>
      </c>
      <c r="D23" s="312">
        <v>0.28110380810456304</v>
      </c>
      <c r="E23" s="312">
        <v>0.34471628010554123</v>
      </c>
      <c r="F23" s="312">
        <v>0.0761888347821098</v>
      </c>
      <c r="G23" s="312">
        <v>0.17769725013797408</v>
      </c>
      <c r="H23" s="312">
        <v>0.27655083540600073</v>
      </c>
      <c r="I23" s="312">
        <v>0.37497043078913855</v>
      </c>
      <c r="J23" s="312">
        <v>0.10307034511843405</v>
      </c>
      <c r="K23" s="312">
        <v>0.25542432127102194</v>
      </c>
      <c r="L23" s="312">
        <v>0.4604145462036577</v>
      </c>
      <c r="M23" s="312">
        <v>0.380219355740631</v>
      </c>
      <c r="N23" s="312">
        <f>'P&amp;L'!N60</f>
        <v>-0.0323</v>
      </c>
      <c r="O23" s="312">
        <f>'P&amp;L'!O60</f>
        <v>-0.04053258624647111</v>
      </c>
      <c r="P23" s="312">
        <f>'P&amp;L'!P60</f>
        <v>-0.013202069074223857</v>
      </c>
      <c r="Q23" s="312">
        <f>'P&amp;L'!Q60</f>
        <v>0.035883004496255345</v>
      </c>
      <c r="R23" s="312">
        <f>'P&amp;L'!R60</f>
        <v>0.021949943616688228</v>
      </c>
      <c r="S23" s="312">
        <f>'P&amp;L'!S60</f>
        <v>0.09845530235559699</v>
      </c>
      <c r="T23" s="312">
        <f>'P&amp;L'!T60</f>
        <v>0.18462440279504572</v>
      </c>
      <c r="U23" s="312">
        <f>'P&amp;L'!U60</f>
        <v>0.20941021418703956</v>
      </c>
      <c r="V23" s="312">
        <f>'P&amp;L'!V60</f>
        <v>0.06546973513388757</v>
      </c>
      <c r="W23" s="312">
        <f>'P&amp;L'!W60</f>
        <v>0.16341863252960856</v>
      </c>
      <c r="X23" s="312">
        <f>'P&amp;L'!X60</f>
        <v>0.2009206312023637</v>
      </c>
      <c r="Y23" s="312"/>
      <c r="Z23" s="312">
        <v>0.23049267859898467</v>
      </c>
      <c r="AA23" s="312">
        <v>0.34471628010554123</v>
      </c>
      <c r="AB23" s="312">
        <v>0.37497043078913855</v>
      </c>
      <c r="AC23" s="312">
        <v>0.380219355740631</v>
      </c>
      <c r="AD23" s="312">
        <f t="shared" si="2"/>
        <v>0.035883004496255345</v>
      </c>
      <c r="AE23" s="312">
        <f t="shared" si="1"/>
        <v>0.20941021418703956</v>
      </c>
    </row>
    <row r="24" spans="1:31" ht="12.75">
      <c r="A24" s="89" t="s">
        <v>13</v>
      </c>
      <c r="B24" s="312">
        <v>0.026545130633157835</v>
      </c>
      <c r="C24" s="312">
        <v>0.08806223739982867</v>
      </c>
      <c r="D24" s="312">
        <v>0.17177506521511438</v>
      </c>
      <c r="E24" s="312">
        <v>0.26448004330968766</v>
      </c>
      <c r="F24" s="312">
        <v>0.07663817532805581</v>
      </c>
      <c r="G24" s="312">
        <v>0.22807695174261405</v>
      </c>
      <c r="H24" s="312">
        <v>0.3302127419416855</v>
      </c>
      <c r="I24" s="312">
        <v>0.421125864067854</v>
      </c>
      <c r="J24" s="312">
        <v>0.04172476530357624</v>
      </c>
      <c r="K24" s="312">
        <v>0.19758386468256123</v>
      </c>
      <c r="L24" s="312">
        <v>0.3150322729962096</v>
      </c>
      <c r="M24" s="312">
        <v>0.46398407546449044</v>
      </c>
      <c r="N24" s="312">
        <f>CashFlow!N29/5993227.24</f>
        <v>0.0637658117565387</v>
      </c>
      <c r="O24" s="312">
        <f>CashFlow!O29/5993227.24</f>
        <v>0.15470212672930453</v>
      </c>
      <c r="P24" s="312">
        <f>CashFlow!P29/5993227.24</f>
        <v>0.20874396212615492</v>
      </c>
      <c r="Q24" s="312">
        <f>CashFlow!Q29/5993227.24</f>
        <v>0.23263910146680838</v>
      </c>
      <c r="R24" s="312">
        <f>CashFlow!R29/5993227.24</f>
        <v>0.017139346780383383</v>
      </c>
      <c r="S24" s="312">
        <f>CashFlow!S29/5993227.24</f>
        <v>0.07486734309109894</v>
      </c>
      <c r="T24" s="312">
        <f>CashFlow!T29/5993227.24</f>
        <v>0.16796359618761927</v>
      </c>
      <c r="U24" s="312">
        <f>CashFlow!U29/5993227.24</f>
        <v>0.23878570638012384</v>
      </c>
      <c r="V24" s="312">
        <f>CashFlow!V29/5993227.24</f>
        <v>0.09048480531167044</v>
      </c>
      <c r="W24" s="312">
        <f>CashFlow!W29/5993227.24</f>
        <v>0.1379096715178115</v>
      </c>
      <c r="X24" s="312">
        <f>CashFlow!X29/5993227.24</f>
        <v>0.24777118245895177</v>
      </c>
      <c r="Y24" s="312"/>
      <c r="Z24" s="312">
        <v>0.25424782658499695</v>
      </c>
      <c r="AA24" s="312">
        <v>0.26448004330968766</v>
      </c>
      <c r="AB24" s="312">
        <v>0.421125864067854</v>
      </c>
      <c r="AC24" s="312">
        <v>0.46398407546449044</v>
      </c>
      <c r="AD24" s="312">
        <f t="shared" si="2"/>
        <v>0.23263910146680838</v>
      </c>
      <c r="AE24" s="312">
        <f t="shared" si="1"/>
        <v>0.23878570638012384</v>
      </c>
    </row>
    <row r="25" spans="1:31" ht="12.75">
      <c r="A25" s="290" t="s">
        <v>173</v>
      </c>
      <c r="B25" s="313">
        <v>0</v>
      </c>
      <c r="C25" s="313">
        <v>0.0561</v>
      </c>
      <c r="D25" s="313">
        <v>0.0561</v>
      </c>
      <c r="E25" s="313">
        <v>0.114</v>
      </c>
      <c r="F25" s="313">
        <v>0</v>
      </c>
      <c r="G25" s="313">
        <v>0.0601</v>
      </c>
      <c r="H25" s="313">
        <v>0.0601</v>
      </c>
      <c r="I25" s="313">
        <v>0.1231</v>
      </c>
      <c r="J25" s="313">
        <v>0</v>
      </c>
      <c r="K25" s="314">
        <v>0.0786</v>
      </c>
      <c r="L25" s="314">
        <v>0.0786</v>
      </c>
      <c r="M25" s="314">
        <v>0.0786</v>
      </c>
      <c r="N25" s="314" t="s">
        <v>161</v>
      </c>
      <c r="O25" s="314" t="s">
        <v>161</v>
      </c>
      <c r="P25" s="314" t="s">
        <v>161</v>
      </c>
      <c r="Q25" s="314">
        <v>0.0071</v>
      </c>
      <c r="R25" s="314" t="s">
        <v>161</v>
      </c>
      <c r="S25" s="314" t="s">
        <v>161</v>
      </c>
      <c r="T25" s="314" t="s">
        <v>161</v>
      </c>
      <c r="U25" s="397">
        <f>379/5993.22724</f>
        <v>0.06323804935519181</v>
      </c>
      <c r="V25" s="314" t="s">
        <v>161</v>
      </c>
      <c r="W25" s="314" t="s">
        <v>161</v>
      </c>
      <c r="X25" s="314" t="s">
        <v>161</v>
      </c>
      <c r="Y25" s="315"/>
      <c r="Z25" s="313">
        <v>0.1101</v>
      </c>
      <c r="AA25" s="316">
        <v>0.114</v>
      </c>
      <c r="AB25" s="313">
        <v>0.1231</v>
      </c>
      <c r="AC25" s="314">
        <v>0.0786</v>
      </c>
      <c r="AD25" s="314">
        <f t="shared" si="2"/>
        <v>0.0071</v>
      </c>
      <c r="AE25" s="397">
        <f t="shared" si="1"/>
        <v>0.06323804935519181</v>
      </c>
    </row>
    <row r="26" spans="1:31" s="137" customFormat="1" ht="12.75">
      <c r="A26" s="317" t="s">
        <v>29</v>
      </c>
      <c r="B26" s="318">
        <v>2.1368930678249307</v>
      </c>
      <c r="C26" s="318">
        <v>2.195248231494123</v>
      </c>
      <c r="D26" s="318">
        <v>1.7964204652518754</v>
      </c>
      <c r="E26" s="318">
        <v>1.9608097534088047</v>
      </c>
      <c r="F26" s="318">
        <v>2.332664740589185</v>
      </c>
      <c r="G26" s="318">
        <v>2.250172688926208</v>
      </c>
      <c r="H26" s="318">
        <v>2.442787030962409</v>
      </c>
      <c r="I26" s="318">
        <v>2.312191834455426</v>
      </c>
      <c r="J26" s="318">
        <v>2.118678767877983</v>
      </c>
      <c r="K26" s="318">
        <v>2.7797483802280087</v>
      </c>
      <c r="L26" s="318">
        <v>0.8016707154226825</v>
      </c>
      <c r="M26" s="318">
        <f aca="true" t="shared" si="4" ref="M26:AE26">M16/M22</f>
        <v>0.43464606738313577</v>
      </c>
      <c r="N26" s="318">
        <f t="shared" si="4"/>
        <v>0.6045449253106986</v>
      </c>
      <c r="O26" s="318">
        <f t="shared" si="4"/>
        <v>1.2574684525457258</v>
      </c>
      <c r="P26" s="318">
        <f t="shared" si="4"/>
        <v>1.2251071855542899</v>
      </c>
      <c r="Q26" s="318">
        <f t="shared" si="4"/>
        <v>1.4717077301578056</v>
      </c>
      <c r="R26" s="318">
        <f t="shared" si="4"/>
        <v>1.58973204214849</v>
      </c>
      <c r="S26" s="318">
        <f t="shared" si="4"/>
        <v>1.2114032952110811</v>
      </c>
      <c r="T26" s="318">
        <f t="shared" si="4"/>
        <v>1.5544158239680812</v>
      </c>
      <c r="U26" s="318">
        <f t="shared" si="4"/>
        <v>2.056812901250268</v>
      </c>
      <c r="V26" s="318">
        <f t="shared" si="4"/>
        <v>1.7405519901315345</v>
      </c>
      <c r="W26" s="318">
        <f t="shared" si="4"/>
        <v>1.461622068701771</v>
      </c>
      <c r="X26" s="318">
        <f t="shared" si="4"/>
        <v>0.7184527911438662</v>
      </c>
      <c r="Y26" s="318"/>
      <c r="Z26" s="318">
        <f t="shared" si="4"/>
        <v>1.3799689257876122</v>
      </c>
      <c r="AA26" s="318">
        <f t="shared" si="4"/>
        <v>1.5985166133034456</v>
      </c>
      <c r="AB26" s="318">
        <f t="shared" si="4"/>
        <v>1.8746105949078085</v>
      </c>
      <c r="AC26" s="318">
        <f t="shared" si="4"/>
        <v>0.43464606738313577</v>
      </c>
      <c r="AD26" s="318">
        <f t="shared" si="4"/>
        <v>1.4717077301578056</v>
      </c>
      <c r="AE26" s="318">
        <f t="shared" si="4"/>
        <v>2.056812901250268</v>
      </c>
    </row>
    <row r="27" spans="1:31" s="137" customFormat="1" ht="12.75">
      <c r="A27" s="317" t="s">
        <v>30</v>
      </c>
      <c r="B27" s="318">
        <v>5.051036836804399</v>
      </c>
      <c r="C27" s="318">
        <v>6.872291081028965</v>
      </c>
      <c r="D27" s="318">
        <v>5.526849854801642</v>
      </c>
      <c r="E27" s="318">
        <v>6.298936681172093</v>
      </c>
      <c r="F27" s="318">
        <v>8.290256726019837</v>
      </c>
      <c r="G27" s="318">
        <v>7.913052769806563</v>
      </c>
      <c r="H27" s="318">
        <v>8.609636114323811</v>
      </c>
      <c r="I27" s="318">
        <v>10.630936310085623</v>
      </c>
      <c r="J27" s="318">
        <v>10.109600378291924</v>
      </c>
      <c r="K27" s="318">
        <v>8.954276940069876</v>
      </c>
      <c r="L27" s="318">
        <v>7.040394415701561</v>
      </c>
      <c r="M27" s="318">
        <f aca="true" t="shared" si="5" ref="M27:V27">IF(M16/M23&gt;0,M16/M23,"-")</f>
        <v>2.682661954473984</v>
      </c>
      <c r="N27" s="318"/>
      <c r="O27" s="318"/>
      <c r="P27" s="318"/>
      <c r="Q27" s="318">
        <f t="shared" si="5"/>
        <v>85.55582351863475</v>
      </c>
      <c r="R27" s="318"/>
      <c r="S27" s="318"/>
      <c r="T27" s="318"/>
      <c r="U27" s="318">
        <f t="shared" si="5"/>
        <v>22.778258541579852</v>
      </c>
      <c r="V27" s="318"/>
      <c r="W27" s="318"/>
      <c r="X27" s="318"/>
      <c r="Y27" s="318"/>
      <c r="Z27" s="318">
        <v>6.24081227744418</v>
      </c>
      <c r="AA27" s="318">
        <v>6.298936681172093</v>
      </c>
      <c r="AB27" s="318">
        <v>10.630936310085623</v>
      </c>
      <c r="AC27" s="318">
        <f>IF(AC16/AC23&gt;0,AC16/AC23,"-")</f>
        <v>2.682661954473984</v>
      </c>
      <c r="AD27" s="318">
        <f>IF(AD16/AD23&gt;0,AD16/AD23,"-")</f>
        <v>85.55582351863475</v>
      </c>
      <c r="AE27" s="318">
        <f>IF(AE16/AE23&gt;0,AE16/AE23,"-")</f>
        <v>22.778258541579852</v>
      </c>
    </row>
    <row r="28" spans="1:31" ht="12.75">
      <c r="A28" s="89" t="s">
        <v>31</v>
      </c>
      <c r="B28" s="300">
        <v>2.29846271101914</v>
      </c>
      <c r="C28" s="300">
        <v>2.3480305603691605</v>
      </c>
      <c r="D28" s="300">
        <v>1.8086834643301555</v>
      </c>
      <c r="E28" s="300">
        <v>2.2377693510596504</v>
      </c>
      <c r="F28" s="300">
        <v>2.405622711337096</v>
      </c>
      <c r="G28" s="300">
        <v>2.2437750669076513</v>
      </c>
      <c r="H28" s="300">
        <v>2.554091745851679</v>
      </c>
      <c r="I28" s="300">
        <v>3.2146385954975614</v>
      </c>
      <c r="J28" s="300">
        <v>2.813802140434971</v>
      </c>
      <c r="K28" s="300">
        <v>2.9183161766505497</v>
      </c>
      <c r="L28" s="300">
        <v>0.9115891595523891</v>
      </c>
      <c r="M28" s="300">
        <f>M21/('P&amp;L'!M3/1000)</f>
        <v>0.5944775889138082</v>
      </c>
      <c r="N28" s="300"/>
      <c r="O28" s="300"/>
      <c r="P28" s="300"/>
      <c r="Q28" s="300">
        <f>Q21/('P&amp;L'!Q3/1000)</f>
        <v>3.0774560477011415</v>
      </c>
      <c r="R28" s="300"/>
      <c r="S28" s="300"/>
      <c r="T28" s="300"/>
      <c r="U28" s="300">
        <f>U21/('P&amp;L'!U3/1000)</f>
        <v>3.5974616046370937</v>
      </c>
      <c r="V28" s="300"/>
      <c r="W28" s="300"/>
      <c r="X28" s="300"/>
      <c r="Y28" s="300"/>
      <c r="Z28" s="300">
        <v>1.524233467662872</v>
      </c>
      <c r="AA28" s="300">
        <v>2.2377693510596504</v>
      </c>
      <c r="AB28" s="300">
        <v>3.2146385954975614</v>
      </c>
      <c r="AC28" s="300">
        <f>AC21/('P&amp;L'!AC3/1000)</f>
        <v>0.5944775889138082</v>
      </c>
      <c r="AD28" s="300">
        <f>AD21/('P&amp;L'!AD3/1000)</f>
        <v>3.0774560477011415</v>
      </c>
      <c r="AE28" s="300">
        <f>AE21/('P&amp;L'!AE3/1000)</f>
        <v>3.5974616046370937</v>
      </c>
    </row>
    <row r="29" spans="1:31" ht="12.75">
      <c r="A29" s="89" t="s">
        <v>242</v>
      </c>
      <c r="B29" s="118">
        <v>193.8269957845143</v>
      </c>
      <c r="C29" s="118">
        <v>230.71930195404488</v>
      </c>
      <c r="D29" s="118">
        <v>278.9272147384166</v>
      </c>
      <c r="E29" s="118">
        <v>296.5034639311511</v>
      </c>
      <c r="F29" s="118">
        <v>310.1474347648774</v>
      </c>
      <c r="G29" s="118">
        <v>340.66198606721105</v>
      </c>
      <c r="H29" s="118">
        <v>359.1900595226504</v>
      </c>
      <c r="I29" s="118">
        <v>363.5233736515201</v>
      </c>
      <c r="J29" s="118">
        <v>297.4636268708667</v>
      </c>
      <c r="K29" s="118">
        <v>379.1715885947047</v>
      </c>
      <c r="L29" s="118">
        <v>459.7164913083257</v>
      </c>
      <c r="M29" s="118">
        <f>'P&amp;L'!M55/Multiples!M38</f>
        <v>432.2023696140805</v>
      </c>
      <c r="N29" s="118">
        <f>'P&amp;L'!N55/Multiples!N38</f>
        <v>92.1018132524228</v>
      </c>
      <c r="O29" s="118">
        <f>'P&amp;L'!O55/Multiples!O38</f>
        <v>90.00749884337922</v>
      </c>
      <c r="P29" s="118">
        <f>'P&amp;L'!P55/Multiples!P38</f>
        <v>118.61555383022774</v>
      </c>
      <c r="Q29" s="118">
        <f>'P&amp;L'!Q55/Multiples!Q38</f>
        <v>136.07019031467874</v>
      </c>
      <c r="R29" s="118">
        <f>'P&amp;L'!R55/Multiples!R38</f>
        <v>142.24806681800294</v>
      </c>
      <c r="S29" s="118">
        <f>'P&amp;L'!S55/Multiples!S38</f>
        <v>207.39241322709674</v>
      </c>
      <c r="T29" s="118">
        <f>'P&amp;L'!T55/Multiples!T38</f>
        <v>216.81945634790256</v>
      </c>
      <c r="U29" s="118">
        <f>'P&amp;L'!U55/Multiples!U38</f>
        <v>203.39949770503162</v>
      </c>
      <c r="V29" s="118">
        <f>'P&amp;L'!V55/Multiples!V38</f>
        <v>201.29453915757642</v>
      </c>
      <c r="W29" s="118">
        <f>'P&amp;L'!W55/Multiples!W38</f>
        <v>240.93176216141214</v>
      </c>
      <c r="X29" s="118">
        <f>'P&amp;L'!X55/Multiples!X38</f>
        <v>215.94881692858118</v>
      </c>
      <c r="Y29" s="118"/>
      <c r="Z29" s="118">
        <v>246.73500236183278</v>
      </c>
      <c r="AA29" s="118">
        <v>296.5034639311511</v>
      </c>
      <c r="AB29" s="118">
        <v>363.5233736515201</v>
      </c>
      <c r="AC29" s="118">
        <f>'P&amp;L'!AC55/Multiples!AC38</f>
        <v>432.22706924469</v>
      </c>
      <c r="AD29" s="118">
        <f>'P&amp;L'!AD55/Multiples!AD38</f>
        <v>136.07019031467874</v>
      </c>
      <c r="AE29" s="118">
        <f>'P&amp;L'!AE55/Multiples!AE38</f>
        <v>203.39949770503162</v>
      </c>
    </row>
    <row r="30" spans="1:31" ht="12.75">
      <c r="A30" s="89" t="s">
        <v>32</v>
      </c>
      <c r="B30" s="300">
        <v>2.5749507317069398</v>
      </c>
      <c r="C30" s="300">
        <v>2.3191234556100824</v>
      </c>
      <c r="D30" s="300">
        <v>1.8048040507086986</v>
      </c>
      <c r="E30" s="300">
        <v>1.9121925283128207</v>
      </c>
      <c r="F30" s="300">
        <v>2.3038625280719423</v>
      </c>
      <c r="G30" s="300">
        <v>2.312201668659182</v>
      </c>
      <c r="H30" s="300">
        <v>2.5151354399840935</v>
      </c>
      <c r="I30" s="300">
        <v>2.484976762204546</v>
      </c>
      <c r="J30" s="300">
        <v>2.3185257214636956</v>
      </c>
      <c r="K30" s="300">
        <v>3.015588316935617</v>
      </c>
      <c r="L30" s="300">
        <v>0.9944034345656559</v>
      </c>
      <c r="M30" s="300">
        <f>M21/('Balance Sheet'!M53/1000)</f>
        <v>0.7052305711820703</v>
      </c>
      <c r="N30" s="300">
        <f>N21/('Balance Sheet'!N53/1000)</f>
        <v>0.9343922242911468</v>
      </c>
      <c r="O30" s="300">
        <f>O21/('Balance Sheet'!O53/1000)</f>
        <v>1.443628334025445</v>
      </c>
      <c r="P30" s="300">
        <f>P21/('Balance Sheet'!P53/1000)</f>
        <v>1.6811295702200242</v>
      </c>
      <c r="Q30" s="300">
        <f>Q21/('Balance Sheet'!Q53/1000)</f>
        <v>1.9276092838602996</v>
      </c>
      <c r="R30" s="300">
        <f>R21/('Balance Sheet'!R53/1000)</f>
        <v>2.0997085443298755</v>
      </c>
      <c r="S30" s="300">
        <f>S21/('Balance Sheet'!S53/1000)</f>
        <v>1.6307414037093613</v>
      </c>
      <c r="T30" s="300">
        <f>T21/('Balance Sheet'!T53/1000)</f>
        <v>2.0708148966577133</v>
      </c>
      <c r="U30" s="300">
        <f>U21/('Balance Sheet'!U53/1000)</f>
        <v>2.633321277693311</v>
      </c>
      <c r="V30" s="300">
        <f>V21/('Balance Sheet'!V53/1000)</f>
        <v>2.231932005023822</v>
      </c>
      <c r="W30" s="300">
        <f>W21/('Balance Sheet'!W53/1000)</f>
        <v>1.8762099250441602</v>
      </c>
      <c r="X30" s="300">
        <f>X21/('Balance Sheet'!X53/1000)</f>
        <v>1.109193689313059</v>
      </c>
      <c r="Y30" s="300"/>
      <c r="Z30" s="300">
        <v>1.8490113249120232</v>
      </c>
      <c r="AA30" s="300">
        <v>1.9121925283128207</v>
      </c>
      <c r="AB30" s="300">
        <v>2.484976762204546</v>
      </c>
      <c r="AC30" s="300">
        <v>0.7052305711820703</v>
      </c>
      <c r="AD30" s="300">
        <f>Q30</f>
        <v>1.9276092838602996</v>
      </c>
      <c r="AE30" s="300">
        <f t="shared" si="1"/>
        <v>2.633321277693311</v>
      </c>
    </row>
    <row r="31" spans="1:31" ht="12.75">
      <c r="A31" s="89" t="s">
        <v>33</v>
      </c>
      <c r="B31" s="300">
        <v>5.626711807808052</v>
      </c>
      <c r="C31" s="300">
        <v>5.634647811056211</v>
      </c>
      <c r="D31" s="300">
        <v>4.08093665611084</v>
      </c>
      <c r="E31" s="300">
        <v>5.00013835141636</v>
      </c>
      <c r="F31" s="300">
        <v>5.798588417543521</v>
      </c>
      <c r="G31" s="300">
        <v>5.232816516276863</v>
      </c>
      <c r="H31" s="300">
        <v>5.821220273469337</v>
      </c>
      <c r="I31" s="300">
        <v>7.438126424692166</v>
      </c>
      <c r="J31" s="300">
        <v>7.748077814168519</v>
      </c>
      <c r="K31" s="300">
        <v>7.6856063505363945</v>
      </c>
      <c r="L31" s="300">
        <v>2.1861042207509356</v>
      </c>
      <c r="M31" s="300">
        <f>M21/('P&amp;L'!M55/1000)</f>
        <v>1.5325397414516504</v>
      </c>
      <c r="N31" s="300"/>
      <c r="O31" s="300"/>
      <c r="P31" s="300"/>
      <c r="Q31" s="300">
        <f>Q21/('P&amp;L'!Q55/1000)</f>
        <v>13.083102013572452</v>
      </c>
      <c r="R31" s="300"/>
      <c r="S31" s="300"/>
      <c r="T31" s="300"/>
      <c r="U31" s="300">
        <f>U21/('P&amp;L'!U55/1000)</f>
        <v>12.79094123698084</v>
      </c>
      <c r="V31" s="300"/>
      <c r="W31" s="300"/>
      <c r="X31" s="300"/>
      <c r="Y31" s="300"/>
      <c r="Z31" s="300">
        <v>3.19225767280956</v>
      </c>
      <c r="AA31" s="300">
        <v>5.00013835141636</v>
      </c>
      <c r="AB31" s="300">
        <v>7.438126424692166</v>
      </c>
      <c r="AC31" s="300">
        <f>AC21/('P&amp;L'!AC55/1000)</f>
        <v>1.5325397414516504</v>
      </c>
      <c r="AD31" s="300">
        <f>AD21/('P&amp;L'!AD55/1000)</f>
        <v>13.083102013572452</v>
      </c>
      <c r="AE31" s="300">
        <f>AE21/('P&amp;L'!AE55/1000)</f>
        <v>12.79094123698084</v>
      </c>
    </row>
    <row r="32" spans="1:31" ht="12.75">
      <c r="A32" s="290" t="s">
        <v>172</v>
      </c>
      <c r="B32" s="319" t="s">
        <v>161</v>
      </c>
      <c r="C32" s="319">
        <v>0.025919044878538196</v>
      </c>
      <c r="D32" s="319">
        <v>0.027081937354282208</v>
      </c>
      <c r="E32" s="319">
        <v>0.052501995941168764</v>
      </c>
      <c r="F32" s="319" t="s">
        <v>161</v>
      </c>
      <c r="G32" s="319">
        <v>0.021370747214733633</v>
      </c>
      <c r="H32" s="319">
        <v>0.018931104999042526</v>
      </c>
      <c r="I32" s="319">
        <v>0.030880869131580887</v>
      </c>
      <c r="J32" s="319" t="s">
        <v>161</v>
      </c>
      <c r="K32" s="319">
        <v>0.01718303125814545</v>
      </c>
      <c r="L32" s="319">
        <v>0.018186024988431283</v>
      </c>
      <c r="M32" s="319">
        <v>0.022521489971346703</v>
      </c>
      <c r="N32" s="314"/>
      <c r="O32" s="314"/>
      <c r="P32" s="314"/>
      <c r="Q32" s="319">
        <f>Q25/Q17</f>
        <v>0.0034382566585956418</v>
      </c>
      <c r="R32" s="314"/>
      <c r="S32" s="314"/>
      <c r="T32" s="314"/>
      <c r="U32" s="319">
        <f>U25/U17</f>
        <v>0.018877029658266212</v>
      </c>
      <c r="V32" s="314"/>
      <c r="W32" s="314"/>
      <c r="X32" s="314"/>
      <c r="Y32" s="300"/>
      <c r="Z32" s="319">
        <v>0.07654010695187166</v>
      </c>
      <c r="AA32" s="319">
        <v>0.052501995941168764</v>
      </c>
      <c r="AB32" s="319">
        <v>0.030880869131580887</v>
      </c>
      <c r="AC32" s="319">
        <v>0.022521489971346703</v>
      </c>
      <c r="AD32" s="319">
        <f>Q32</f>
        <v>0.0034382566585956418</v>
      </c>
      <c r="AE32" s="319">
        <f t="shared" si="1"/>
        <v>0.018877029658266212</v>
      </c>
    </row>
    <row r="33" spans="2:26" ht="12.75">
      <c r="B33" s="320"/>
      <c r="C33" s="320"/>
      <c r="D33" s="320"/>
      <c r="E33" s="320"/>
      <c r="F33" s="320"/>
      <c r="G33" s="320"/>
      <c r="H33" s="321"/>
      <c r="I33" s="321"/>
      <c r="J33" s="320"/>
      <c r="K33" s="320"/>
      <c r="L33" s="320"/>
      <c r="M33" s="320"/>
      <c r="N33" s="320"/>
      <c r="O33" s="320"/>
      <c r="P33" s="321"/>
      <c r="Q33" s="321"/>
      <c r="R33" s="321"/>
      <c r="S33" s="321"/>
      <c r="T33" s="321"/>
      <c r="U33" s="321"/>
      <c r="V33" s="321"/>
      <c r="W33" s="321"/>
      <c r="X33" s="321"/>
      <c r="Y33" s="300"/>
      <c r="Z33" s="321"/>
    </row>
    <row r="34" spans="13:15" ht="12.75">
      <c r="M34" s="324"/>
      <c r="N34" s="324"/>
      <c r="O34" s="324"/>
    </row>
    <row r="35" spans="1:26" ht="12.75">
      <c r="A35" s="178"/>
      <c r="B35" s="320"/>
      <c r="C35" s="320"/>
      <c r="D35" s="320"/>
      <c r="E35" s="320"/>
      <c r="F35" s="320"/>
      <c r="G35" s="320"/>
      <c r="H35" s="321"/>
      <c r="I35" s="321"/>
      <c r="J35" s="320"/>
      <c r="K35" s="320"/>
      <c r="L35" s="320"/>
      <c r="M35" s="320"/>
      <c r="N35" s="320"/>
      <c r="O35" s="320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</row>
    <row r="36" spans="1:26" ht="12.75">
      <c r="A36" s="183"/>
      <c r="B36" s="326"/>
      <c r="C36" s="327"/>
      <c r="D36" s="328"/>
      <c r="E36" s="328"/>
      <c r="F36" s="326"/>
      <c r="G36" s="326"/>
      <c r="H36" s="329"/>
      <c r="I36" s="330"/>
      <c r="J36" s="326"/>
      <c r="K36" s="326"/>
      <c r="L36" s="326"/>
      <c r="M36" s="326"/>
      <c r="N36" s="326"/>
      <c r="O36" s="326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</row>
    <row r="37" spans="1:26" ht="12.75">
      <c r="A37" s="331"/>
      <c r="B37" s="332"/>
      <c r="C37" s="333"/>
      <c r="D37" s="334"/>
      <c r="E37" s="334"/>
      <c r="F37" s="332"/>
      <c r="G37" s="320"/>
      <c r="H37" s="330"/>
      <c r="I37" s="330"/>
      <c r="J37" s="332"/>
      <c r="K37" s="320"/>
      <c r="L37" s="320"/>
      <c r="M37" s="320"/>
      <c r="N37" s="320"/>
      <c r="O37" s="32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</row>
    <row r="38" spans="1:31" ht="12.75" outlineLevel="1">
      <c r="A38" s="89" t="s">
        <v>180</v>
      </c>
      <c r="B38" s="118">
        <v>2290.45494</v>
      </c>
      <c r="C38" s="118">
        <v>4591.19801</v>
      </c>
      <c r="D38" s="118">
        <v>6808.61852</v>
      </c>
      <c r="E38" s="118">
        <v>9125.24921</v>
      </c>
      <c r="F38" s="118">
        <v>2341.08014</v>
      </c>
      <c r="G38" s="118">
        <v>4542.725820000001</v>
      </c>
      <c r="H38" s="118">
        <v>6773.97087</v>
      </c>
      <c r="I38" s="118">
        <v>9177</v>
      </c>
      <c r="J38" s="118">
        <v>2873</v>
      </c>
      <c r="K38" s="118">
        <v>5892</v>
      </c>
      <c r="L38" s="118">
        <v>8744</v>
      </c>
      <c r="M38" s="118">
        <v>10499.6</v>
      </c>
      <c r="N38" s="118">
        <v>2135.1805470000004</v>
      </c>
      <c r="O38" s="118">
        <v>4788.0343920000005</v>
      </c>
      <c r="P38" s="118">
        <v>7728</v>
      </c>
      <c r="Q38" s="118">
        <v>10614</v>
      </c>
      <c r="R38" s="118">
        <v>2716.043941</v>
      </c>
      <c r="S38" s="118">
        <v>5596.000268</v>
      </c>
      <c r="T38" s="118">
        <v>8557.862063</v>
      </c>
      <c r="U38" s="118">
        <v>11547</v>
      </c>
      <c r="V38" s="118">
        <v>2905.642659</v>
      </c>
      <c r="W38" s="118">
        <v>5902.061178</v>
      </c>
      <c r="X38" s="118">
        <v>8797.07065322</v>
      </c>
      <c r="Y38" s="118"/>
      <c r="Z38" s="118">
        <v>8468</v>
      </c>
      <c r="AA38" s="118">
        <v>9125.24921</v>
      </c>
      <c r="AB38" s="118">
        <v>9177</v>
      </c>
      <c r="AC38" s="118">
        <v>10499</v>
      </c>
      <c r="AD38" s="118">
        <v>10614</v>
      </c>
      <c r="AE38" s="118">
        <v>11547</v>
      </c>
    </row>
    <row r="39" spans="2:26" ht="12.75">
      <c r="B39" s="320"/>
      <c r="C39" s="335"/>
      <c r="D39" s="335"/>
      <c r="E39" s="335"/>
      <c r="F39" s="335"/>
      <c r="G39" s="335"/>
      <c r="H39" s="330"/>
      <c r="I39" s="330"/>
      <c r="J39" s="335"/>
      <c r="K39" s="335"/>
      <c r="L39" s="335"/>
      <c r="M39" s="335"/>
      <c r="N39" s="335"/>
      <c r="O39" s="335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</row>
    <row r="40" spans="2:26" ht="12.75">
      <c r="B40" s="320"/>
      <c r="C40" s="335"/>
      <c r="D40" s="335"/>
      <c r="E40" s="335"/>
      <c r="F40" s="335"/>
      <c r="G40" s="335"/>
      <c r="H40" s="330"/>
      <c r="I40" s="118"/>
      <c r="J40" s="335"/>
      <c r="K40" s="335"/>
      <c r="L40" s="335"/>
      <c r="M40" s="335"/>
      <c r="N40" s="335"/>
      <c r="O40" s="335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</row>
    <row r="41" spans="2:26" ht="12.75">
      <c r="B41" s="320"/>
      <c r="C41" s="335"/>
      <c r="D41" s="335"/>
      <c r="E41" s="335"/>
      <c r="F41" s="335"/>
      <c r="G41" s="335"/>
      <c r="H41" s="330"/>
      <c r="I41" s="330"/>
      <c r="J41" s="335"/>
      <c r="K41" s="335"/>
      <c r="L41" s="335"/>
      <c r="M41" s="335"/>
      <c r="N41" s="335"/>
      <c r="O41" s="335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</row>
    <row r="42" spans="2:26" ht="12.75">
      <c r="B42" s="320"/>
      <c r="C42" s="335"/>
      <c r="D42" s="335"/>
      <c r="E42" s="335"/>
      <c r="F42" s="335"/>
      <c r="G42" s="335"/>
      <c r="H42" s="330"/>
      <c r="I42" s="330"/>
      <c r="J42" s="335"/>
      <c r="K42" s="335"/>
      <c r="L42" s="335"/>
      <c r="M42" s="335"/>
      <c r="N42" s="335"/>
      <c r="O42" s="335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</row>
    <row r="43" spans="2:26" ht="12.75">
      <c r="B43" s="320"/>
      <c r="C43" s="335"/>
      <c r="D43" s="335"/>
      <c r="E43" s="335"/>
      <c r="F43" s="335"/>
      <c r="G43" s="335"/>
      <c r="H43" s="330"/>
      <c r="I43" s="330"/>
      <c r="J43" s="335"/>
      <c r="K43" s="335"/>
      <c r="L43" s="335"/>
      <c r="M43" s="335"/>
      <c r="N43" s="335"/>
      <c r="O43" s="335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</row>
    <row r="44" spans="2:26" ht="12.75">
      <c r="B44" s="320"/>
      <c r="C44" s="336"/>
      <c r="D44" s="336"/>
      <c r="E44" s="336"/>
      <c r="F44" s="336"/>
      <c r="G44" s="336"/>
      <c r="H44" s="337"/>
      <c r="I44" s="337"/>
      <c r="J44" s="336"/>
      <c r="K44" s="336"/>
      <c r="L44" s="336"/>
      <c r="M44" s="336"/>
      <c r="N44" s="336"/>
      <c r="O44" s="336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</row>
    <row r="45" spans="2:26" ht="12.75">
      <c r="B45" s="336"/>
      <c r="C45" s="336"/>
      <c r="D45" s="336"/>
      <c r="E45" s="336"/>
      <c r="F45" s="336"/>
      <c r="G45" s="336"/>
      <c r="H45" s="337"/>
      <c r="I45" s="337"/>
      <c r="J45" s="336"/>
      <c r="K45" s="336"/>
      <c r="L45" s="336"/>
      <c r="M45" s="336"/>
      <c r="N45" s="336"/>
      <c r="O45" s="336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</row>
    <row r="46" spans="2:26" ht="12.75">
      <c r="B46" s="336"/>
      <c r="C46" s="336"/>
      <c r="D46" s="336"/>
      <c r="E46" s="336"/>
      <c r="F46" s="336"/>
      <c r="G46" s="336"/>
      <c r="H46" s="337"/>
      <c r="I46" s="337"/>
      <c r="J46" s="336"/>
      <c r="K46" s="336"/>
      <c r="L46" s="336"/>
      <c r="M46" s="336"/>
      <c r="N46" s="336"/>
      <c r="O46" s="336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</row>
    <row r="47" spans="2:26" ht="12.75">
      <c r="B47" s="336"/>
      <c r="C47" s="336"/>
      <c r="D47" s="336"/>
      <c r="E47" s="336"/>
      <c r="F47" s="336"/>
      <c r="G47" s="336"/>
      <c r="H47" s="337"/>
      <c r="I47" s="337"/>
      <c r="J47" s="336"/>
      <c r="K47" s="336"/>
      <c r="L47" s="336"/>
      <c r="M47" s="336"/>
      <c r="N47" s="336"/>
      <c r="O47" s="336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</row>
    <row r="48" spans="2:26" ht="12.75">
      <c r="B48" s="336"/>
      <c r="C48" s="336"/>
      <c r="D48" s="336"/>
      <c r="E48" s="336"/>
      <c r="F48" s="336"/>
      <c r="G48" s="336"/>
      <c r="H48" s="337"/>
      <c r="I48" s="337"/>
      <c r="J48" s="336"/>
      <c r="K48" s="336"/>
      <c r="L48" s="336"/>
      <c r="M48" s="336"/>
      <c r="N48" s="336"/>
      <c r="O48" s="336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</row>
    <row r="49" spans="2:26" ht="12.75">
      <c r="B49" s="336"/>
      <c r="C49" s="336"/>
      <c r="D49" s="336"/>
      <c r="E49" s="336"/>
      <c r="F49" s="336"/>
      <c r="G49" s="336"/>
      <c r="H49" s="337"/>
      <c r="I49" s="337"/>
      <c r="J49" s="336"/>
      <c r="K49" s="336"/>
      <c r="L49" s="336"/>
      <c r="M49" s="336"/>
      <c r="N49" s="336"/>
      <c r="O49" s="336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</row>
    <row r="50" spans="2:26" ht="12.75">
      <c r="B50" s="336"/>
      <c r="C50" s="336"/>
      <c r="D50" s="336"/>
      <c r="E50" s="336"/>
      <c r="F50" s="336"/>
      <c r="G50" s="336"/>
      <c r="H50" s="337"/>
      <c r="I50" s="337"/>
      <c r="J50" s="336"/>
      <c r="K50" s="336"/>
      <c r="L50" s="336"/>
      <c r="M50" s="336"/>
      <c r="N50" s="336"/>
      <c r="O50" s="336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2:26" ht="12.75">
      <c r="B51" s="336"/>
      <c r="C51" s="336"/>
      <c r="D51" s="336"/>
      <c r="E51" s="336"/>
      <c r="F51" s="336"/>
      <c r="G51" s="336"/>
      <c r="H51" s="337"/>
      <c r="I51" s="337"/>
      <c r="J51" s="336"/>
      <c r="K51" s="336"/>
      <c r="L51" s="336"/>
      <c r="M51" s="336"/>
      <c r="N51" s="336"/>
      <c r="O51" s="336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2:26" ht="12.75">
      <c r="B52" s="336"/>
      <c r="C52" s="336"/>
      <c r="D52" s="336"/>
      <c r="E52" s="336"/>
      <c r="F52" s="336"/>
      <c r="G52" s="336"/>
      <c r="H52" s="337"/>
      <c r="I52" s="337"/>
      <c r="J52" s="336"/>
      <c r="K52" s="336"/>
      <c r="L52" s="336"/>
      <c r="M52" s="336"/>
      <c r="N52" s="336"/>
      <c r="O52" s="336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</row>
    <row r="53" spans="2:26" ht="12.75">
      <c r="B53" s="336"/>
      <c r="C53" s="336"/>
      <c r="D53" s="336"/>
      <c r="E53" s="336"/>
      <c r="F53" s="336"/>
      <c r="G53" s="336"/>
      <c r="H53" s="337"/>
      <c r="I53" s="337"/>
      <c r="J53" s="336"/>
      <c r="K53" s="336"/>
      <c r="L53" s="336"/>
      <c r="M53" s="336"/>
      <c r="N53" s="336"/>
      <c r="O53" s="336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</row>
    <row r="54" spans="2:26" ht="12.75">
      <c r="B54" s="336"/>
      <c r="C54" s="336"/>
      <c r="D54" s="336"/>
      <c r="E54" s="336"/>
      <c r="F54" s="336"/>
      <c r="G54" s="336"/>
      <c r="H54" s="337"/>
      <c r="I54" s="337"/>
      <c r="J54" s="336"/>
      <c r="K54" s="336"/>
      <c r="L54" s="336"/>
      <c r="M54" s="336"/>
      <c r="N54" s="336"/>
      <c r="O54" s="336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</row>
    <row r="55" spans="2:26" ht="12.75">
      <c r="B55" s="336"/>
      <c r="C55" s="336"/>
      <c r="D55" s="336"/>
      <c r="E55" s="336"/>
      <c r="F55" s="336"/>
      <c r="G55" s="336"/>
      <c r="H55" s="337"/>
      <c r="I55" s="337"/>
      <c r="J55" s="336"/>
      <c r="K55" s="336"/>
      <c r="L55" s="336"/>
      <c r="M55" s="336"/>
      <c r="N55" s="336"/>
      <c r="O55" s="336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</row>
    <row r="56" spans="2:26" ht="12.75">
      <c r="B56" s="336"/>
      <c r="C56" s="336"/>
      <c r="D56" s="336"/>
      <c r="E56" s="336"/>
      <c r="F56" s="336"/>
      <c r="G56" s="336"/>
      <c r="H56" s="337"/>
      <c r="I56" s="337"/>
      <c r="J56" s="336"/>
      <c r="K56" s="336"/>
      <c r="L56" s="336"/>
      <c r="M56" s="336"/>
      <c r="N56" s="336"/>
      <c r="O56" s="336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</row>
    <row r="57" spans="2:26" ht="12.75">
      <c r="B57" s="336"/>
      <c r="C57" s="336"/>
      <c r="D57" s="336"/>
      <c r="E57" s="336"/>
      <c r="F57" s="336"/>
      <c r="G57" s="336"/>
      <c r="H57" s="337"/>
      <c r="I57" s="337"/>
      <c r="J57" s="336"/>
      <c r="K57" s="336"/>
      <c r="L57" s="336"/>
      <c r="M57" s="336"/>
      <c r="N57" s="336"/>
      <c r="O57" s="336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</row>
    <row r="58" spans="2:26" ht="12.75">
      <c r="B58" s="336"/>
      <c r="C58" s="336"/>
      <c r="D58" s="336"/>
      <c r="E58" s="336"/>
      <c r="F58" s="336"/>
      <c r="G58" s="336"/>
      <c r="H58" s="337"/>
      <c r="I58" s="337"/>
      <c r="J58" s="336"/>
      <c r="K58" s="336"/>
      <c r="L58" s="336"/>
      <c r="M58" s="336"/>
      <c r="N58" s="336"/>
      <c r="O58" s="336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</row>
    <row r="59" spans="2:26" ht="12.75">
      <c r="B59" s="336"/>
      <c r="C59" s="336"/>
      <c r="D59" s="336"/>
      <c r="E59" s="336"/>
      <c r="F59" s="336"/>
      <c r="G59" s="336"/>
      <c r="H59" s="337"/>
      <c r="I59" s="337"/>
      <c r="J59" s="336"/>
      <c r="K59" s="336"/>
      <c r="L59" s="336"/>
      <c r="M59" s="336"/>
      <c r="N59" s="336"/>
      <c r="O59" s="336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</row>
    <row r="60" spans="2:26" ht="12.75">
      <c r="B60" s="336"/>
      <c r="C60" s="336"/>
      <c r="D60" s="336"/>
      <c r="E60" s="336"/>
      <c r="F60" s="336"/>
      <c r="G60" s="336"/>
      <c r="H60" s="337"/>
      <c r="I60" s="337"/>
      <c r="J60" s="336"/>
      <c r="K60" s="336"/>
      <c r="L60" s="336"/>
      <c r="M60" s="336"/>
      <c r="N60" s="336"/>
      <c r="O60" s="336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</row>
    <row r="61" spans="2:26" ht="12.75">
      <c r="B61" s="336"/>
      <c r="C61" s="336"/>
      <c r="D61" s="336"/>
      <c r="E61" s="336"/>
      <c r="F61" s="336"/>
      <c r="G61" s="336"/>
      <c r="H61" s="337"/>
      <c r="I61" s="337"/>
      <c r="J61" s="336"/>
      <c r="K61" s="336"/>
      <c r="L61" s="336"/>
      <c r="M61" s="336"/>
      <c r="N61" s="336"/>
      <c r="O61" s="336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&amp;CPage &amp;P of 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6"/>
  <sheetViews>
    <sheetView showGridLines="0" view="pageBreakPreview" zoomScale="90" zoomScaleSheetLayoutView="90" zoomScalePageLayoutView="0" workbookViewId="0" topLeftCell="A1">
      <selection activeCell="X15" sqref="X15"/>
    </sheetView>
  </sheetViews>
  <sheetFormatPr defaultColWidth="11.421875" defaultRowHeight="12.75" outlineLevelCol="1"/>
  <cols>
    <col min="1" max="1" width="37.421875" style="124" customWidth="1"/>
    <col min="2" max="7" width="6.7109375" style="341" hidden="1" customWidth="1" outlineLevel="1"/>
    <col min="8" max="9" width="6.7109375" style="124" hidden="1" customWidth="1" outlineLevel="1"/>
    <col min="10" max="10" width="6.7109375" style="372" hidden="1" customWidth="1" outlineLevel="1"/>
    <col min="11" max="12" width="6.7109375" style="341" hidden="1" customWidth="1" outlineLevel="1"/>
    <col min="13" max="13" width="6.7109375" style="341" customWidth="1" collapsed="1"/>
    <col min="14" max="15" width="6.7109375" style="341" customWidth="1"/>
    <col min="16" max="16" width="7.28125" style="341" bestFit="1" customWidth="1"/>
    <col min="17" max="24" width="7.28125" style="341" customWidth="1"/>
    <col min="25" max="25" width="6.7109375" style="373" customWidth="1"/>
    <col min="26" max="29" width="7.140625" style="124" customWidth="1"/>
    <col min="30" max="33" width="6.7109375" style="341" customWidth="1"/>
    <col min="34" max="36" width="6.7109375" style="124" customWidth="1"/>
    <col min="37" max="16384" width="11.421875" style="124" customWidth="1"/>
  </cols>
  <sheetData>
    <row r="1" spans="1:33" s="284" customFormat="1" ht="12.75">
      <c r="A1" s="284" t="s">
        <v>23</v>
      </c>
      <c r="B1" s="338"/>
      <c r="C1" s="338"/>
      <c r="D1" s="338"/>
      <c r="E1" s="338"/>
      <c r="F1" s="338"/>
      <c r="G1" s="338"/>
      <c r="J1" s="339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40"/>
      <c r="AD1" s="338"/>
      <c r="AE1" s="338"/>
      <c r="AF1" s="338"/>
      <c r="AG1" s="338"/>
    </row>
    <row r="2" spans="19:24" ht="12.75">
      <c r="S2" s="394"/>
      <c r="T2" s="394"/>
      <c r="U2" s="394"/>
      <c r="V2" s="394"/>
      <c r="W2" s="394"/>
      <c r="X2" s="394"/>
    </row>
    <row r="3" spans="1:31" ht="12.75">
      <c r="A3" s="84" t="s">
        <v>20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6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6" t="s">
        <v>257</v>
      </c>
      <c r="Y3" s="88"/>
      <c r="Z3" s="86">
        <v>2005</v>
      </c>
      <c r="AA3" s="86">
        <v>2006</v>
      </c>
      <c r="AB3" s="86">
        <v>2007</v>
      </c>
      <c r="AC3" s="86">
        <v>2008</v>
      </c>
      <c r="AD3" s="86">
        <v>2009</v>
      </c>
      <c r="AE3" s="86">
        <v>2010</v>
      </c>
    </row>
    <row r="4" spans="1:31" ht="12.75">
      <c r="A4" s="89" t="s">
        <v>230</v>
      </c>
      <c r="B4" s="106">
        <v>2298.9757100000006</v>
      </c>
      <c r="C4" s="106">
        <v>4705.402910000001</v>
      </c>
      <c r="D4" s="106">
        <v>6999.845698000004</v>
      </c>
      <c r="E4" s="106">
        <v>9262.343640007</v>
      </c>
      <c r="F4" s="106">
        <v>2388.03049</v>
      </c>
      <c r="G4" s="106">
        <v>4466.453157999999</v>
      </c>
      <c r="H4" s="106">
        <v>6666.192270999998</v>
      </c>
      <c r="I4" s="106">
        <v>9126.614155999998</v>
      </c>
      <c r="J4" s="108">
        <v>2129.761643</v>
      </c>
      <c r="K4" s="106">
        <v>4673.937072</v>
      </c>
      <c r="L4" s="106">
        <v>6883.831734999996</v>
      </c>
      <c r="M4" s="106">
        <v>8488.330298887493</v>
      </c>
      <c r="N4" s="106">
        <v>1893.3995911999998</v>
      </c>
      <c r="O4" s="106">
        <v>3820.5294948553847</v>
      </c>
      <c r="P4" s="106">
        <v>6523.760053000001</v>
      </c>
      <c r="Q4" s="106">
        <v>8922.406473</v>
      </c>
      <c r="R4" s="106">
        <v>2460.4054039999937</v>
      </c>
      <c r="S4" s="106">
        <v>5014</v>
      </c>
      <c r="T4" s="106">
        <v>7533.123205999993</v>
      </c>
      <c r="U4" s="106">
        <v>10091</v>
      </c>
      <c r="V4" s="106">
        <v>2351.2078715999974</v>
      </c>
      <c r="W4" s="106">
        <v>4997.974703999997</v>
      </c>
      <c r="X4" s="106"/>
      <c r="Y4" s="108"/>
      <c r="Z4" s="106">
        <v>8201.254455</v>
      </c>
      <c r="AA4" s="106">
        <v>9262.343640007</v>
      </c>
      <c r="AB4" s="106">
        <v>9126.614155999998</v>
      </c>
      <c r="AC4" s="106">
        <v>8488.330298887493</v>
      </c>
      <c r="AD4" s="106">
        <f>Q4</f>
        <v>8922.406473</v>
      </c>
      <c r="AE4" s="106">
        <f>U4</f>
        <v>10091</v>
      </c>
    </row>
    <row r="5" spans="1:35" s="346" customFormat="1" ht="12.75">
      <c r="A5" s="92" t="s">
        <v>154</v>
      </c>
      <c r="B5" s="342"/>
      <c r="C5" s="342"/>
      <c r="D5" s="342"/>
      <c r="E5" s="342"/>
      <c r="F5" s="342"/>
      <c r="G5" s="342"/>
      <c r="H5" s="343"/>
      <c r="I5" s="343"/>
      <c r="J5" s="344"/>
      <c r="K5" s="342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108"/>
      <c r="Z5" s="343"/>
      <c r="AA5" s="97">
        <v>0.12938132706760408</v>
      </c>
      <c r="AB5" s="97">
        <v>-0.014653902865441548</v>
      </c>
      <c r="AC5" s="97">
        <v>-0.0699365445062543</v>
      </c>
      <c r="AD5" s="97">
        <f>AD4/AC4-1</f>
        <v>0.05113799284759191</v>
      </c>
      <c r="AE5" s="97">
        <f>AE4/AD4-1</f>
        <v>0.13097290854617194</v>
      </c>
      <c r="AF5" s="345"/>
      <c r="AG5" s="345"/>
      <c r="AH5" s="345"/>
      <c r="AI5" s="345"/>
    </row>
    <row r="6" spans="1:31" ht="12.75">
      <c r="A6" s="347" t="s">
        <v>39</v>
      </c>
      <c r="B6" s="106">
        <v>131.77701</v>
      </c>
      <c r="C6" s="106">
        <v>406.12202</v>
      </c>
      <c r="D6" s="106">
        <v>685.3219100000001</v>
      </c>
      <c r="E6" s="106">
        <v>845.4429</v>
      </c>
      <c r="F6" s="106">
        <v>242.75050000000002</v>
      </c>
      <c r="G6" s="106">
        <v>357.34855000000005</v>
      </c>
      <c r="H6" s="106">
        <v>534.01555</v>
      </c>
      <c r="I6" s="106">
        <v>853.17555</v>
      </c>
      <c r="J6" s="108">
        <v>266.347</v>
      </c>
      <c r="K6" s="106">
        <v>419.58250999999996</v>
      </c>
      <c r="L6" s="106">
        <v>573.81976</v>
      </c>
      <c r="M6" s="106">
        <v>616.328033</v>
      </c>
      <c r="N6" s="106">
        <v>89.57957</v>
      </c>
      <c r="O6" s="106">
        <v>104.7199</v>
      </c>
      <c r="P6" s="106">
        <v>326.072245</v>
      </c>
      <c r="Q6" s="106">
        <v>559.23963</v>
      </c>
      <c r="R6" s="106">
        <v>94.22572999999971</v>
      </c>
      <c r="S6" s="106">
        <v>332</v>
      </c>
      <c r="T6" s="106">
        <v>505.2427900000008</v>
      </c>
      <c r="U6" s="106">
        <v>582.2756299999971</v>
      </c>
      <c r="V6" s="106">
        <v>152.6100499999999</v>
      </c>
      <c r="W6" s="106">
        <v>284.34244</v>
      </c>
      <c r="X6" s="106"/>
      <c r="Y6" s="108"/>
      <c r="Z6" s="106">
        <v>398.661</v>
      </c>
      <c r="AA6" s="106">
        <v>845.4429</v>
      </c>
      <c r="AB6" s="106">
        <v>853.17555</v>
      </c>
      <c r="AC6" s="106">
        <v>616.328033</v>
      </c>
      <c r="AD6" s="106">
        <f>Q6</f>
        <v>559.23963</v>
      </c>
      <c r="AE6" s="106">
        <f>U6</f>
        <v>582.2756299999971</v>
      </c>
    </row>
    <row r="7" spans="1:33" s="346" customFormat="1" ht="12.75">
      <c r="A7" s="92" t="s">
        <v>154</v>
      </c>
      <c r="B7" s="342"/>
      <c r="C7" s="342"/>
      <c r="D7" s="342"/>
      <c r="E7" s="342"/>
      <c r="F7" s="342"/>
      <c r="G7" s="342"/>
      <c r="H7" s="343"/>
      <c r="I7" s="343"/>
      <c r="J7" s="344"/>
      <c r="K7" s="342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108"/>
      <c r="Z7" s="343"/>
      <c r="AA7" s="97">
        <v>1.1207063143874119</v>
      </c>
      <c r="AB7" s="97">
        <v>0.00914627114379929</v>
      </c>
      <c r="AC7" s="97">
        <v>-0.2776070141719369</v>
      </c>
      <c r="AD7" s="97">
        <f>AD6/AC6-1</f>
        <v>-0.09262665324846575</v>
      </c>
      <c r="AE7" s="97">
        <f>AE6/AD6-1</f>
        <v>0.04119164444765322</v>
      </c>
      <c r="AF7" s="348"/>
      <c r="AG7" s="348"/>
    </row>
    <row r="8" spans="1:31" ht="12.75">
      <c r="A8" s="347" t="s">
        <v>40</v>
      </c>
      <c r="B8" s="106">
        <v>936.54314</v>
      </c>
      <c r="C8" s="106">
        <v>1788.6261399999999</v>
      </c>
      <c r="D8" s="106">
        <v>2539.911230000003</v>
      </c>
      <c r="E8" s="106">
        <v>3431.8622099999993</v>
      </c>
      <c r="F8" s="106">
        <v>852.2936999999997</v>
      </c>
      <c r="G8" s="106">
        <v>1527.4027299999993</v>
      </c>
      <c r="H8" s="106">
        <v>2269.670299999997</v>
      </c>
      <c r="I8" s="106">
        <v>3082.9940399999978</v>
      </c>
      <c r="J8" s="108">
        <v>589.00304</v>
      </c>
      <c r="K8" s="106">
        <v>1524.1964199999998</v>
      </c>
      <c r="L8" s="106">
        <v>2324.986669999998</v>
      </c>
      <c r="M8" s="106">
        <v>3107.98199</v>
      </c>
      <c r="N8" s="106">
        <v>645.2076500000001</v>
      </c>
      <c r="O8" s="106">
        <v>1467.6062600000005</v>
      </c>
      <c r="P8" s="106">
        <v>2529.856572400001</v>
      </c>
      <c r="Q8" s="106">
        <v>3442.9668429999992</v>
      </c>
      <c r="R8" s="106">
        <v>1008.3456769999939</v>
      </c>
      <c r="S8" s="106">
        <v>1833</v>
      </c>
      <c r="T8" s="106">
        <v>2722.8845369999926</v>
      </c>
      <c r="U8" s="106">
        <v>3835.1747870000386</v>
      </c>
      <c r="V8" s="106">
        <v>715.3012363999983</v>
      </c>
      <c r="W8" s="106">
        <v>1871.2158189999977</v>
      </c>
      <c r="X8" s="106"/>
      <c r="Y8" s="108"/>
      <c r="Z8" s="106">
        <v>3203.52379</v>
      </c>
      <c r="AA8" s="106">
        <v>3431.8622099999993</v>
      </c>
      <c r="AB8" s="106">
        <v>3082.9940399999978</v>
      </c>
      <c r="AC8" s="106">
        <v>3107.98199</v>
      </c>
      <c r="AD8" s="106">
        <f>Q8</f>
        <v>3442.9668429999992</v>
      </c>
      <c r="AE8" s="106">
        <f>U8</f>
        <v>3835.1747870000386</v>
      </c>
    </row>
    <row r="9" spans="1:33" s="346" customFormat="1" ht="12.75">
      <c r="A9" s="92" t="s">
        <v>154</v>
      </c>
      <c r="B9" s="342"/>
      <c r="C9" s="342"/>
      <c r="D9" s="342"/>
      <c r="E9" s="342"/>
      <c r="F9" s="342"/>
      <c r="G9" s="342"/>
      <c r="H9" s="343"/>
      <c r="I9" s="343"/>
      <c r="J9" s="344"/>
      <c r="K9" s="342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108"/>
      <c r="Z9" s="343"/>
      <c r="AA9" s="97">
        <v>0.07127726683746549</v>
      </c>
      <c r="AB9" s="97">
        <v>-0.10165564601732702</v>
      </c>
      <c r="AC9" s="97">
        <v>0.008105091893074956</v>
      </c>
      <c r="AD9" s="97">
        <f>AD8/AC8-1</f>
        <v>0.10778210880173056</v>
      </c>
      <c r="AE9" s="97">
        <f>AE8/AD8-1</f>
        <v>0.11391569012563951</v>
      </c>
      <c r="AF9" s="348"/>
      <c r="AG9" s="348"/>
    </row>
    <row r="10" spans="1:31" ht="12.75">
      <c r="A10" s="347" t="s">
        <v>152</v>
      </c>
      <c r="B10" s="106">
        <v>1230.6555600000004</v>
      </c>
      <c r="C10" s="106">
        <v>2510.65475</v>
      </c>
      <c r="D10" s="106">
        <v>3774.6125580000007</v>
      </c>
      <c r="E10" s="106">
        <v>4985.038530007001</v>
      </c>
      <c r="F10" s="106">
        <v>1292.98629</v>
      </c>
      <c r="G10" s="106">
        <v>2581.701878</v>
      </c>
      <c r="H10" s="106">
        <v>3862.5064210000014</v>
      </c>
      <c r="I10" s="106">
        <v>5190.444566</v>
      </c>
      <c r="J10" s="108">
        <v>1274.4116029999998</v>
      </c>
      <c r="K10" s="106">
        <v>2730.1581419999998</v>
      </c>
      <c r="L10" s="106">
        <v>3985.025304999998</v>
      </c>
      <c r="M10" s="106">
        <v>4764.020275887492</v>
      </c>
      <c r="N10" s="106">
        <v>1158.6123711999999</v>
      </c>
      <c r="O10" s="106">
        <v>2248.203334855384</v>
      </c>
      <c r="P10" s="106">
        <v>3667.8312356</v>
      </c>
      <c r="Q10" s="106">
        <v>4920.2</v>
      </c>
      <c r="R10" s="106">
        <v>1357.8339970000002</v>
      </c>
      <c r="S10" s="106">
        <v>2849</v>
      </c>
      <c r="T10" s="106">
        <v>4305</v>
      </c>
      <c r="U10" s="106">
        <v>5673</v>
      </c>
      <c r="V10" s="106">
        <v>1483.2965851999993</v>
      </c>
      <c r="W10" s="106">
        <v>2842.2965851999993</v>
      </c>
      <c r="X10" s="106"/>
      <c r="Y10" s="108"/>
      <c r="Z10" s="106">
        <v>4599.069665</v>
      </c>
      <c r="AA10" s="106">
        <v>4985.038530007001</v>
      </c>
      <c r="AB10" s="106">
        <v>5190.444566</v>
      </c>
      <c r="AC10" s="106">
        <v>4764.020275887492</v>
      </c>
      <c r="AD10" s="106">
        <f>Q10</f>
        <v>4920.2</v>
      </c>
      <c r="AE10" s="106">
        <f>U10</f>
        <v>5673</v>
      </c>
    </row>
    <row r="11" spans="1:33" s="346" customFormat="1" ht="12.75">
      <c r="A11" s="92" t="s">
        <v>154</v>
      </c>
      <c r="B11" s="342"/>
      <c r="C11" s="342"/>
      <c r="D11" s="342"/>
      <c r="E11" s="342"/>
      <c r="F11" s="342"/>
      <c r="G11" s="342"/>
      <c r="H11" s="343"/>
      <c r="I11" s="343"/>
      <c r="J11" s="344"/>
      <c r="K11" s="342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3"/>
      <c r="AA11" s="97">
        <v>0.08392324820480868</v>
      </c>
      <c r="AB11" s="97">
        <v>0.04120450318619917</v>
      </c>
      <c r="AC11" s="97">
        <v>-0.08215563901901579</v>
      </c>
      <c r="AD11" s="97">
        <f>AD10/AC10-1</f>
        <v>0.032783177876675396</v>
      </c>
      <c r="AE11" s="97">
        <f>AE10/AD10-1</f>
        <v>0.15300191049144352</v>
      </c>
      <c r="AF11" s="348"/>
      <c r="AG11" s="348"/>
    </row>
    <row r="12" spans="1:31" ht="12.75">
      <c r="A12" s="99"/>
      <c r="B12" s="100"/>
      <c r="C12" s="100"/>
      <c r="D12" s="100"/>
      <c r="E12" s="100"/>
      <c r="F12" s="100"/>
      <c r="G12" s="100"/>
      <c r="H12" s="100"/>
      <c r="I12" s="100"/>
      <c r="J12" s="34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32"/>
      <c r="Z12" s="100"/>
      <c r="AA12" s="100"/>
      <c r="AB12" s="100"/>
      <c r="AC12" s="100"/>
      <c r="AD12" s="100"/>
      <c r="AE12" s="100"/>
    </row>
    <row r="13" spans="1:31" ht="12.75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32"/>
      <c r="Z13" s="104"/>
      <c r="AA13" s="104"/>
      <c r="AB13" s="104"/>
      <c r="AC13" s="104"/>
      <c r="AD13" s="104"/>
      <c r="AE13" s="104"/>
    </row>
    <row r="14" spans="1:31" ht="12.75">
      <c r="A14" s="105" t="s">
        <v>231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6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6" t="s">
        <v>247</v>
      </c>
      <c r="V14" s="86" t="s">
        <v>251</v>
      </c>
      <c r="W14" s="86" t="s">
        <v>252</v>
      </c>
      <c r="X14" s="86" t="s">
        <v>257</v>
      </c>
      <c r="Y14" s="88"/>
      <c r="Z14" s="86">
        <v>2005</v>
      </c>
      <c r="AA14" s="86">
        <v>2006</v>
      </c>
      <c r="AB14" s="86">
        <v>2007</v>
      </c>
      <c r="AC14" s="86">
        <v>2008</v>
      </c>
      <c r="AD14" s="86">
        <v>2009</v>
      </c>
      <c r="AE14" s="86">
        <v>2010</v>
      </c>
    </row>
    <row r="15" spans="1:33" s="350" customFormat="1" ht="12.75">
      <c r="A15" s="317" t="s">
        <v>22</v>
      </c>
      <c r="B15" s="108">
        <v>434.78325975510427</v>
      </c>
      <c r="C15" s="108">
        <v>475.7932987839746</v>
      </c>
      <c r="D15" s="108">
        <v>522.3292936229884</v>
      </c>
      <c r="E15" s="108">
        <v>540.2174822600432</v>
      </c>
      <c r="F15" s="108">
        <v>558.4462144415978</v>
      </c>
      <c r="G15" s="108">
        <v>616.2660467144801</v>
      </c>
      <c r="H15" s="108">
        <v>634.2776397612379</v>
      </c>
      <c r="I15" s="108">
        <v>636.3528290186661</v>
      </c>
      <c r="J15" s="108">
        <v>698.7036216409252</v>
      </c>
      <c r="K15" s="108">
        <v>824.8700259034841</v>
      </c>
      <c r="L15" s="108">
        <v>931.1111412067155</v>
      </c>
      <c r="M15" s="108">
        <v>914.7564689084691</v>
      </c>
      <c r="N15" s="108">
        <v>462.6234573154756</v>
      </c>
      <c r="O15" s="108">
        <v>428.9303107955245</v>
      </c>
      <c r="P15" s="108">
        <v>430</v>
      </c>
      <c r="Q15" s="108">
        <v>456.4266217404782</v>
      </c>
      <c r="R15" s="108">
        <v>521.6227430116118</v>
      </c>
      <c r="S15" s="108">
        <v>580.70037735535</v>
      </c>
      <c r="T15" s="108">
        <v>649.2315184697724</v>
      </c>
      <c r="U15" s="108">
        <v>613.9900327229435</v>
      </c>
      <c r="V15" s="108">
        <v>720.3045366467759</v>
      </c>
      <c r="W15" s="108">
        <v>765.53766521075</v>
      </c>
      <c r="X15" s="108"/>
      <c r="Y15" s="108"/>
      <c r="Z15" s="108">
        <v>488.89084451523024</v>
      </c>
      <c r="AA15" s="108">
        <v>540.2174822600432</v>
      </c>
      <c r="AB15" s="108">
        <v>636.3528290186661</v>
      </c>
      <c r="AC15" s="108">
        <v>914.7564689084691</v>
      </c>
      <c r="AD15" s="108">
        <f>Q15</f>
        <v>456.4266217404782</v>
      </c>
      <c r="AE15" s="108">
        <f>U15</f>
        <v>613.9900327229435</v>
      </c>
      <c r="AF15" s="137"/>
      <c r="AG15" s="137"/>
    </row>
    <row r="16" spans="1:33" s="346" customFormat="1" ht="12.75">
      <c r="A16" s="92" t="s">
        <v>154</v>
      </c>
      <c r="B16" s="342"/>
      <c r="C16" s="342"/>
      <c r="D16" s="342"/>
      <c r="E16" s="342"/>
      <c r="F16" s="342"/>
      <c r="G16" s="342"/>
      <c r="H16" s="343"/>
      <c r="I16" s="343"/>
      <c r="J16" s="351"/>
      <c r="K16" s="342"/>
      <c r="L16" s="343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1"/>
      <c r="Z16" s="343"/>
      <c r="AA16" s="97">
        <v>0.1049858845192877</v>
      </c>
      <c r="AB16" s="97">
        <v>0.17795674874576983</v>
      </c>
      <c r="AC16" s="97">
        <v>0.4374988641429245</v>
      </c>
      <c r="AD16" s="353">
        <f>AD15/AC15-1</f>
        <v>-0.5010402907725724</v>
      </c>
      <c r="AE16" s="353">
        <f>AE15/AD15-1</f>
        <v>0.34521082574376005</v>
      </c>
      <c r="AF16" s="348"/>
      <c r="AG16" s="348"/>
    </row>
    <row r="17" spans="1:33" s="81" customFormat="1" ht="12.75">
      <c r="A17" s="347" t="s">
        <v>39</v>
      </c>
      <c r="B17" s="108">
        <v>191.35725921002611</v>
      </c>
      <c r="C17" s="108">
        <v>218.6065019003744</v>
      </c>
      <c r="D17" s="108">
        <v>242.28645973353812</v>
      </c>
      <c r="E17" s="108">
        <v>247.0831739533526</v>
      </c>
      <c r="F17" s="108">
        <v>283.2344711943401</v>
      </c>
      <c r="G17" s="108">
        <v>291.37807576332466</v>
      </c>
      <c r="H17" s="108">
        <v>300.01036549307526</v>
      </c>
      <c r="I17" s="108">
        <v>314.15885509800654</v>
      </c>
      <c r="J17" s="108">
        <v>404.8208378894203</v>
      </c>
      <c r="K17" s="108">
        <v>470.255264972337</v>
      </c>
      <c r="L17" s="108">
        <v>559.4752388909463</v>
      </c>
      <c r="M17" s="108">
        <v>520.3041503304856</v>
      </c>
      <c r="N17" s="108">
        <v>214.31683362155974</v>
      </c>
      <c r="O17" s="108">
        <v>208.61884089328979</v>
      </c>
      <c r="P17" s="108">
        <v>237.92019577129764</v>
      </c>
      <c r="Q17" s="108">
        <v>239.07420938942914</v>
      </c>
      <c r="R17" s="108">
        <v>334.95588698526296</v>
      </c>
      <c r="S17" s="108">
        <v>395.681050779596</v>
      </c>
      <c r="T17" s="108">
        <v>405.92437153538947</v>
      </c>
      <c r="U17" s="108">
        <v>397.795838384352</v>
      </c>
      <c r="V17" s="108">
        <v>467.88642679072984</v>
      </c>
      <c r="W17" s="108">
        <v>482.1013194243797</v>
      </c>
      <c r="X17" s="108"/>
      <c r="Y17" s="108"/>
      <c r="Z17" s="108">
        <v>233.82124686899405</v>
      </c>
      <c r="AA17" s="108">
        <v>247.0831739533526</v>
      </c>
      <c r="AB17" s="108">
        <v>314.15885509800654</v>
      </c>
      <c r="AC17" s="108">
        <v>520.3041503304856</v>
      </c>
      <c r="AD17" s="108">
        <f>Q17</f>
        <v>239.07420938942914</v>
      </c>
      <c r="AE17" s="108">
        <f>U17</f>
        <v>397.795838384352</v>
      </c>
      <c r="AF17" s="137"/>
      <c r="AG17" s="137"/>
    </row>
    <row r="18" spans="1:33" s="346" customFormat="1" ht="12.75">
      <c r="A18" s="92" t="s">
        <v>154</v>
      </c>
      <c r="B18" s="343"/>
      <c r="C18" s="343"/>
      <c r="D18" s="343"/>
      <c r="E18" s="342"/>
      <c r="F18" s="342"/>
      <c r="G18" s="342"/>
      <c r="H18" s="343"/>
      <c r="I18" s="343"/>
      <c r="J18" s="351"/>
      <c r="K18" s="342"/>
      <c r="L18" s="343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1"/>
      <c r="Z18" s="343"/>
      <c r="AA18" s="97">
        <v>0.05671822925394365</v>
      </c>
      <c r="AB18" s="97">
        <v>0.27147004820861387</v>
      </c>
      <c r="AC18" s="97">
        <v>0.6561817115362514</v>
      </c>
      <c r="AD18" s="353">
        <f>AD17/AC17-1</f>
        <v>-0.5405106623931897</v>
      </c>
      <c r="AE18" s="353">
        <f>AE17/AD17-1</f>
        <v>0.6639010933060556</v>
      </c>
      <c r="AF18" s="348"/>
      <c r="AG18" s="348"/>
    </row>
    <row r="19" spans="1:33" s="81" customFormat="1" ht="12.75">
      <c r="A19" s="347" t="s">
        <v>40</v>
      </c>
      <c r="B19" s="108">
        <v>260.87332515873453</v>
      </c>
      <c r="C19" s="108">
        <v>305.5652224374704</v>
      </c>
      <c r="D19" s="108">
        <v>358.0732407204238</v>
      </c>
      <c r="E19" s="108">
        <v>376.4606286676811</v>
      </c>
      <c r="F19" s="108">
        <v>389.47563459839307</v>
      </c>
      <c r="G19" s="108">
        <v>433.46572861479547</v>
      </c>
      <c r="H19" s="108">
        <v>455.28150485954257</v>
      </c>
      <c r="I19" s="108">
        <v>466.38991250910203</v>
      </c>
      <c r="J19" s="108">
        <v>527.6387751085806</v>
      </c>
      <c r="K19" s="108">
        <v>671.9462641633907</v>
      </c>
      <c r="L19" s="108">
        <v>779.2643167355551</v>
      </c>
      <c r="M19" s="108">
        <v>757.2095516903288</v>
      </c>
      <c r="N19" s="108">
        <v>333.504214495766</v>
      </c>
      <c r="O19" s="108">
        <v>309.52500058064163</v>
      </c>
      <c r="P19" s="108">
        <v>317.5295032493165</v>
      </c>
      <c r="Q19" s="108">
        <v>340.3915713181932</v>
      </c>
      <c r="R19" s="108">
        <v>387.0396747431016</v>
      </c>
      <c r="S19" s="108">
        <v>457.97285770254626</v>
      </c>
      <c r="T19" s="108">
        <v>494.97485576717503</v>
      </c>
      <c r="U19" s="108">
        <v>497.3998891194321</v>
      </c>
      <c r="V19" s="108">
        <v>564.6217069538671</v>
      </c>
      <c r="W19" s="108">
        <v>652.4303993797391</v>
      </c>
      <c r="X19" s="108"/>
      <c r="Y19" s="108"/>
      <c r="Z19" s="108">
        <v>331.92547308686244</v>
      </c>
      <c r="AA19" s="108">
        <v>376.4606286676811</v>
      </c>
      <c r="AB19" s="108">
        <v>466.38991250910203</v>
      </c>
      <c r="AC19" s="108">
        <v>757.2095516903288</v>
      </c>
      <c r="AD19" s="108">
        <f>Q19</f>
        <v>340.3915713181932</v>
      </c>
      <c r="AE19" s="108">
        <f>U19</f>
        <v>497.3998891194321</v>
      </c>
      <c r="AF19" s="137"/>
      <c r="AG19" s="137"/>
    </row>
    <row r="20" spans="1:33" s="346" customFormat="1" ht="12.75">
      <c r="A20" s="92" t="s">
        <v>154</v>
      </c>
      <c r="B20" s="343"/>
      <c r="C20" s="343"/>
      <c r="D20" s="343"/>
      <c r="E20" s="342"/>
      <c r="F20" s="342"/>
      <c r="G20" s="342"/>
      <c r="H20" s="343"/>
      <c r="I20" s="343"/>
      <c r="J20" s="351"/>
      <c r="K20" s="342"/>
      <c r="L20" s="343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1"/>
      <c r="Z20" s="343"/>
      <c r="AA20" s="97">
        <v>0.13417215366644708</v>
      </c>
      <c r="AB20" s="97">
        <v>0.23888097982433543</v>
      </c>
      <c r="AC20" s="97">
        <v>0.6235547368867056</v>
      </c>
      <c r="AD20" s="353">
        <f>AD19/AC19-1</f>
        <v>-0.5504658247398853</v>
      </c>
      <c r="AE20" s="353">
        <f>AE19/AD19-1</f>
        <v>0.46125794828941213</v>
      </c>
      <c r="AF20" s="348"/>
      <c r="AG20" s="348"/>
    </row>
    <row r="21" spans="1:33" s="81" customFormat="1" ht="12.75">
      <c r="A21" s="347" t="s">
        <v>152</v>
      </c>
      <c r="B21" s="108">
        <v>609.1357021351446</v>
      </c>
      <c r="C21" s="108">
        <v>655.7381246030482</v>
      </c>
      <c r="D21" s="108">
        <v>701.2341370589303</v>
      </c>
      <c r="E21" s="108">
        <v>722.9205823707167</v>
      </c>
      <c r="F21" s="108">
        <v>749.8740976153334</v>
      </c>
      <c r="G21" s="108">
        <v>794.6651949163245</v>
      </c>
      <c r="H21" s="108">
        <v>810.0112239640883</v>
      </c>
      <c r="I21" s="108">
        <v>814.5944535085581</v>
      </c>
      <c r="J21" s="108">
        <v>863.3716287479957</v>
      </c>
      <c r="K21" s="108">
        <v>988.0509476906465</v>
      </c>
      <c r="L21" s="108">
        <v>1095.6180152984994</v>
      </c>
      <c r="M21" s="108">
        <v>1092.2304720453387</v>
      </c>
      <c r="N21" s="108">
        <v>546.9367301289642</v>
      </c>
      <c r="O21" s="108">
        <v>536.5728007886163</v>
      </c>
      <c r="P21" s="108">
        <v>540.7292887384257</v>
      </c>
      <c r="Q21" s="108">
        <v>579.6847556857713</v>
      </c>
      <c r="R21" s="108">
        <v>655.9020571133456</v>
      </c>
      <c r="S21" s="108">
        <v>703.430457614787</v>
      </c>
      <c r="T21" s="108">
        <v>775.3529547282235</v>
      </c>
      <c r="U21" s="108">
        <v>739.8692531760333</v>
      </c>
      <c r="V21" s="108">
        <v>837.0271648704431</v>
      </c>
      <c r="W21" s="108">
        <v>897.8433561700466</v>
      </c>
      <c r="X21" s="108"/>
      <c r="Y21" s="108"/>
      <c r="Z21" s="108">
        <v>620.3366904098496</v>
      </c>
      <c r="AA21" s="108">
        <v>722.9205823707167</v>
      </c>
      <c r="AB21" s="108">
        <v>814.5944535085581</v>
      </c>
      <c r="AC21" s="108">
        <v>1092.2304720453387</v>
      </c>
      <c r="AD21" s="108">
        <f>Q21</f>
        <v>579.6847556857713</v>
      </c>
      <c r="AE21" s="108">
        <f>U21</f>
        <v>739.8692531760333</v>
      </c>
      <c r="AF21" s="137"/>
      <c r="AG21" s="137"/>
    </row>
    <row r="22" spans="1:33" s="346" customFormat="1" ht="12.75">
      <c r="A22" s="92" t="s">
        <v>154</v>
      </c>
      <c r="B22" s="342"/>
      <c r="C22" s="342"/>
      <c r="D22" s="342"/>
      <c r="E22" s="342"/>
      <c r="F22" s="342"/>
      <c r="G22" s="342"/>
      <c r="H22" s="343"/>
      <c r="I22" s="343"/>
      <c r="J22" s="344"/>
      <c r="K22" s="342"/>
      <c r="L22" s="343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44"/>
      <c r="Z22" s="343"/>
      <c r="AA22" s="97">
        <v>0.16536808727707397</v>
      </c>
      <c r="AB22" s="97">
        <v>0.12681043170359008</v>
      </c>
      <c r="AC22" s="97">
        <v>0.34082728815666274</v>
      </c>
      <c r="AD22" s="353">
        <f>AD21/AC21-1</f>
        <v>-0.46926516836667376</v>
      </c>
      <c r="AE22" s="353">
        <f>AE21/AD21-1</f>
        <v>0.27633036045731907</v>
      </c>
      <c r="AF22" s="348"/>
      <c r="AG22" s="348"/>
    </row>
    <row r="23" spans="1:31" ht="12.75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14"/>
      <c r="Z23" s="100"/>
      <c r="AA23" s="100"/>
      <c r="AB23" s="100"/>
      <c r="AC23" s="100"/>
      <c r="AD23" s="100"/>
      <c r="AE23" s="100"/>
    </row>
    <row r="24" spans="1:31" ht="12.75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5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14"/>
      <c r="Z24" s="104"/>
      <c r="AA24" s="104"/>
      <c r="AB24" s="104"/>
      <c r="AC24" s="104"/>
      <c r="AD24" s="104"/>
      <c r="AE24" s="104"/>
    </row>
    <row r="25" spans="1:31" ht="12.75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6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6" t="s">
        <v>247</v>
      </c>
      <c r="V25" s="86" t="s">
        <v>251</v>
      </c>
      <c r="W25" s="86" t="s">
        <v>252</v>
      </c>
      <c r="X25" s="86" t="s">
        <v>257</v>
      </c>
      <c r="Y25" s="88"/>
      <c r="Z25" s="86">
        <v>2005</v>
      </c>
      <c r="AA25" s="86">
        <v>2006</v>
      </c>
      <c r="AB25" s="86">
        <v>2007</v>
      </c>
      <c r="AC25" s="86">
        <v>2008</v>
      </c>
      <c r="AD25" s="86">
        <v>2009</v>
      </c>
      <c r="AE25" s="86">
        <v>2010</v>
      </c>
    </row>
    <row r="26" spans="1:31" ht="12.75">
      <c r="A26" s="89" t="s">
        <v>38</v>
      </c>
      <c r="B26" s="106">
        <v>1048.643</v>
      </c>
      <c r="C26" s="106">
        <v>2395.785</v>
      </c>
      <c r="D26" s="106">
        <v>3991.382</v>
      </c>
      <c r="E26" s="106">
        <v>5586.725</v>
      </c>
      <c r="F26" s="106">
        <v>1598.702</v>
      </c>
      <c r="G26" s="106">
        <v>3728.368</v>
      </c>
      <c r="H26" s="106">
        <v>5049.271</v>
      </c>
      <c r="I26" s="106">
        <v>6946.05</v>
      </c>
      <c r="J26" s="108">
        <v>1779.491</v>
      </c>
      <c r="K26" s="106">
        <v>4698.091</v>
      </c>
      <c r="L26" s="106">
        <v>7807.105</v>
      </c>
      <c r="M26" s="106">
        <v>9642.94</v>
      </c>
      <c r="N26" s="106">
        <v>1136.296</v>
      </c>
      <c r="O26" s="106">
        <v>2215.098</v>
      </c>
      <c r="P26" s="106">
        <v>3707.774</v>
      </c>
      <c r="Q26" s="106">
        <v>5305.187</v>
      </c>
      <c r="R26" s="106">
        <v>1471.847</v>
      </c>
      <c r="S26" s="106">
        <v>3338.067</v>
      </c>
      <c r="T26" s="106">
        <v>5240.706</v>
      </c>
      <c r="U26" s="106">
        <v>7160.623</v>
      </c>
      <c r="V26" s="106">
        <v>2008.842</v>
      </c>
      <c r="W26" s="106">
        <v>4528.656</v>
      </c>
      <c r="X26" s="106"/>
      <c r="Y26" s="108"/>
      <c r="Z26" s="106">
        <v>4195.236</v>
      </c>
      <c r="AA26" s="106">
        <v>5586.725</v>
      </c>
      <c r="AB26" s="106">
        <v>6946.05</v>
      </c>
      <c r="AC26" s="106">
        <v>9642.94</v>
      </c>
      <c r="AD26" s="106">
        <f>Q26</f>
        <v>5305.187</v>
      </c>
      <c r="AE26" s="106">
        <f>U26</f>
        <v>7160.623</v>
      </c>
    </row>
    <row r="27" spans="1:33" s="346" customFormat="1" ht="12.75">
      <c r="A27" s="92" t="s">
        <v>154</v>
      </c>
      <c r="B27" s="342"/>
      <c r="C27" s="342"/>
      <c r="D27" s="342"/>
      <c r="E27" s="342"/>
      <c r="F27" s="342"/>
      <c r="G27" s="342"/>
      <c r="H27" s="343"/>
      <c r="I27" s="343"/>
      <c r="J27" s="351"/>
      <c r="K27" s="342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51"/>
      <c r="Z27" s="343"/>
      <c r="AA27" s="97">
        <v>0.3316831281958872</v>
      </c>
      <c r="AB27" s="97">
        <v>0.24331339022414733</v>
      </c>
      <c r="AC27" s="97">
        <v>0.3882623937345686</v>
      </c>
      <c r="AD27" s="97">
        <f>AD26/AC26-1</f>
        <v>-0.4498371865841746</v>
      </c>
      <c r="AE27" s="97">
        <f>AE26/AD26-1</f>
        <v>0.34973998089040026</v>
      </c>
      <c r="AF27" s="348"/>
      <c r="AG27" s="348"/>
    </row>
    <row r="28" spans="1:31" ht="12.75">
      <c r="A28" s="103" t="s">
        <v>155</v>
      </c>
      <c r="B28" s="108" t="s">
        <v>156</v>
      </c>
      <c r="C28" s="108" t="s">
        <v>156</v>
      </c>
      <c r="D28" s="108" t="s">
        <v>156</v>
      </c>
      <c r="E28" s="106">
        <v>224.056</v>
      </c>
      <c r="F28" s="108" t="s">
        <v>156</v>
      </c>
      <c r="G28" s="108" t="s">
        <v>156</v>
      </c>
      <c r="H28" s="108" t="s">
        <v>156</v>
      </c>
      <c r="I28" s="106">
        <v>265.335</v>
      </c>
      <c r="J28" s="108" t="s">
        <v>156</v>
      </c>
      <c r="K28" s="108" t="s">
        <v>156</v>
      </c>
      <c r="L28" s="108" t="s">
        <v>156</v>
      </c>
      <c r="M28" s="108">
        <v>285.171</v>
      </c>
      <c r="N28" s="108" t="s">
        <v>156</v>
      </c>
      <c r="O28" s="108" t="s">
        <v>156</v>
      </c>
      <c r="P28" s="108" t="s">
        <v>156</v>
      </c>
      <c r="Q28" s="108">
        <v>293.106</v>
      </c>
      <c r="R28" s="108" t="s">
        <v>156</v>
      </c>
      <c r="S28" s="108" t="s">
        <v>156</v>
      </c>
      <c r="T28" s="108" t="s">
        <v>156</v>
      </c>
      <c r="U28" s="108">
        <v>308.546</v>
      </c>
      <c r="V28" s="108" t="s">
        <v>156</v>
      </c>
      <c r="W28" s="108" t="s">
        <v>156</v>
      </c>
      <c r="X28" s="108"/>
      <c r="Y28" s="108"/>
      <c r="Z28" s="106">
        <v>197.423</v>
      </c>
      <c r="AA28" s="106">
        <v>224.056</v>
      </c>
      <c r="AB28" s="106">
        <v>265.335</v>
      </c>
      <c r="AC28" s="108">
        <v>285.171</v>
      </c>
      <c r="AD28" s="106">
        <f>Q28</f>
        <v>293.106</v>
      </c>
      <c r="AE28" s="106">
        <f>U28</f>
        <v>308.546</v>
      </c>
    </row>
    <row r="29" spans="1:33" s="346" customFormat="1" ht="12.75">
      <c r="A29" s="92" t="s">
        <v>154</v>
      </c>
      <c r="B29" s="342"/>
      <c r="C29" s="342"/>
      <c r="D29" s="342"/>
      <c r="E29" s="342"/>
      <c r="F29" s="342"/>
      <c r="G29" s="342"/>
      <c r="H29" s="342"/>
      <c r="I29" s="342"/>
      <c r="J29" s="344"/>
      <c r="K29" s="342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4"/>
      <c r="Z29" s="342"/>
      <c r="AA29" s="97">
        <v>0.13490322809399102</v>
      </c>
      <c r="AB29" s="97">
        <v>0.18423519120219933</v>
      </c>
      <c r="AC29" s="97">
        <v>0.07475832438238461</v>
      </c>
      <c r="AD29" s="97">
        <f>AD28/AC28-1</f>
        <v>0.027825410017147556</v>
      </c>
      <c r="AE29" s="97">
        <f>AE28/AD28-1</f>
        <v>0.0526771884574182</v>
      </c>
      <c r="AF29" s="348"/>
      <c r="AG29" s="348"/>
    </row>
    <row r="30" spans="1:31" ht="12.75">
      <c r="A30" s="103" t="s">
        <v>3</v>
      </c>
      <c r="B30" s="117">
        <v>336.348</v>
      </c>
      <c r="C30" s="117">
        <v>833.854</v>
      </c>
      <c r="D30" s="117">
        <v>1496.895</v>
      </c>
      <c r="E30" s="117">
        <v>2108.437</v>
      </c>
      <c r="F30" s="117">
        <v>519.858</v>
      </c>
      <c r="G30" s="117">
        <v>1131.367</v>
      </c>
      <c r="H30" s="117">
        <v>1772.952</v>
      </c>
      <c r="I30" s="117">
        <v>2362.82</v>
      </c>
      <c r="J30" s="118">
        <v>529.196</v>
      </c>
      <c r="K30" s="117">
        <v>1605.598</v>
      </c>
      <c r="L30" s="106">
        <v>2790.708</v>
      </c>
      <c r="M30" s="106">
        <v>3227.065</v>
      </c>
      <c r="N30" s="106">
        <v>91.246</v>
      </c>
      <c r="O30" s="106">
        <v>164.99</v>
      </c>
      <c r="P30" s="106">
        <v>427.921</v>
      </c>
      <c r="Q30" s="106">
        <v>785.032</v>
      </c>
      <c r="R30" s="106">
        <v>208.412</v>
      </c>
      <c r="S30" s="106">
        <v>573.894</v>
      </c>
      <c r="T30" s="106">
        <v>884.362</v>
      </c>
      <c r="U30" s="106">
        <v>1083.585</v>
      </c>
      <c r="V30" s="106">
        <v>223.987</v>
      </c>
      <c r="W30" s="106">
        <v>578.28</v>
      </c>
      <c r="X30" s="106"/>
      <c r="Y30" s="118"/>
      <c r="Z30" s="106">
        <v>1523.572</v>
      </c>
      <c r="AA30" s="117">
        <v>2108.437</v>
      </c>
      <c r="AB30" s="117">
        <v>2362.82</v>
      </c>
      <c r="AC30" s="106">
        <v>3227.065</v>
      </c>
      <c r="AD30" s="106">
        <f>Q30</f>
        <v>785.032</v>
      </c>
      <c r="AE30" s="106">
        <f>U30</f>
        <v>1083.585</v>
      </c>
    </row>
    <row r="31" spans="1:33" s="346" customFormat="1" ht="12.75">
      <c r="A31" s="92" t="s">
        <v>154</v>
      </c>
      <c r="B31" s="342"/>
      <c r="C31" s="342"/>
      <c r="D31" s="342"/>
      <c r="E31" s="342"/>
      <c r="F31" s="342"/>
      <c r="G31" s="342"/>
      <c r="H31" s="342"/>
      <c r="I31" s="342"/>
      <c r="J31" s="344"/>
      <c r="K31" s="342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4"/>
      <c r="Z31" s="342"/>
      <c r="AA31" s="97">
        <v>0.38387749315424546</v>
      </c>
      <c r="AB31" s="97">
        <v>0.12065003602194424</v>
      </c>
      <c r="AC31" s="97">
        <v>0.3657684461787185</v>
      </c>
      <c r="AD31" s="97">
        <f>AD30/AC30-1</f>
        <v>-0.7567349898437125</v>
      </c>
      <c r="AE31" s="97">
        <f>AE30/AD30-1</f>
        <v>0.3803067900416799</v>
      </c>
      <c r="AF31" s="348"/>
      <c r="AG31" s="348"/>
    </row>
    <row r="32" spans="1:31" ht="12.75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14"/>
      <c r="Z32" s="100"/>
      <c r="AA32" s="100"/>
      <c r="AB32" s="100"/>
      <c r="AC32" s="100"/>
      <c r="AD32" s="100"/>
      <c r="AE32" s="100"/>
    </row>
    <row r="33" spans="1:31" ht="12.75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5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14"/>
      <c r="Z33" s="104"/>
      <c r="AA33" s="104"/>
      <c r="AB33" s="104"/>
      <c r="AC33" s="104"/>
      <c r="AD33" s="104"/>
      <c r="AE33" s="104"/>
    </row>
    <row r="34" spans="1:31" ht="12.75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6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6" t="s">
        <v>247</v>
      </c>
      <c r="V34" s="86" t="s">
        <v>251</v>
      </c>
      <c r="W34" s="86" t="s">
        <v>252</v>
      </c>
      <c r="X34" s="86" t="s">
        <v>257</v>
      </c>
      <c r="Y34" s="88"/>
      <c r="Z34" s="86">
        <v>2005</v>
      </c>
      <c r="AA34" s="86">
        <v>2006</v>
      </c>
      <c r="AB34" s="86">
        <v>2007</v>
      </c>
      <c r="AC34" s="86">
        <v>2008</v>
      </c>
      <c r="AD34" s="86">
        <v>2009</v>
      </c>
      <c r="AE34" s="86">
        <v>2010</v>
      </c>
    </row>
    <row r="35" spans="1:33" s="81" customFormat="1" ht="22.5">
      <c r="A35" s="125" t="s">
        <v>67</v>
      </c>
      <c r="B35" s="108" t="s">
        <v>156</v>
      </c>
      <c r="C35" s="108" t="s">
        <v>156</v>
      </c>
      <c r="D35" s="108" t="s">
        <v>156</v>
      </c>
      <c r="E35" s="106">
        <v>476.65</v>
      </c>
      <c r="F35" s="108" t="s">
        <v>156</v>
      </c>
      <c r="G35" s="108" t="s">
        <v>156</v>
      </c>
      <c r="H35" s="108" t="s">
        <v>156</v>
      </c>
      <c r="I35" s="106">
        <v>794.16</v>
      </c>
      <c r="J35" s="108" t="s">
        <v>156</v>
      </c>
      <c r="K35" s="108" t="s">
        <v>156</v>
      </c>
      <c r="L35" s="108" t="s">
        <v>156</v>
      </c>
      <c r="M35" s="108">
        <v>1380.306</v>
      </c>
      <c r="N35" s="108" t="s">
        <v>156</v>
      </c>
      <c r="O35" s="108" t="s">
        <v>156</v>
      </c>
      <c r="P35" s="108" t="s">
        <v>156</v>
      </c>
      <c r="Q35" s="108">
        <v>857.859</v>
      </c>
      <c r="R35" s="108" t="s">
        <v>156</v>
      </c>
      <c r="S35" s="108" t="s">
        <v>156</v>
      </c>
      <c r="T35" s="108" t="s">
        <v>156</v>
      </c>
      <c r="U35" s="108">
        <v>1071.036</v>
      </c>
      <c r="V35" s="108" t="s">
        <v>156</v>
      </c>
      <c r="W35" s="108" t="s">
        <v>156</v>
      </c>
      <c r="X35" s="108"/>
      <c r="Y35" s="108"/>
      <c r="Z35" s="108">
        <v>499.962</v>
      </c>
      <c r="AA35" s="106">
        <v>476.65</v>
      </c>
      <c r="AB35" s="106">
        <v>794.16</v>
      </c>
      <c r="AC35" s="106">
        <v>1380.306</v>
      </c>
      <c r="AD35" s="106">
        <f>Q35</f>
        <v>857.859</v>
      </c>
      <c r="AE35" s="106">
        <f>U35</f>
        <v>1071.036</v>
      </c>
      <c r="AF35" s="137"/>
      <c r="AG35" s="137"/>
    </row>
    <row r="36" spans="1:33" s="131" customFormat="1" ht="12.75">
      <c r="A36" s="92" t="s">
        <v>154</v>
      </c>
      <c r="B36" s="354"/>
      <c r="C36" s="354"/>
      <c r="D36" s="354"/>
      <c r="E36" s="354"/>
      <c r="F36" s="354"/>
      <c r="G36" s="354"/>
      <c r="H36" s="355"/>
      <c r="I36" s="355"/>
      <c r="J36" s="344"/>
      <c r="K36" s="354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44"/>
      <c r="Z36" s="355"/>
      <c r="AA36" s="97">
        <v>-0.04662754369332067</v>
      </c>
      <c r="AB36" s="97">
        <v>0.6661281863002202</v>
      </c>
      <c r="AC36" s="97">
        <v>0.7380704140223633</v>
      </c>
      <c r="AD36" s="97">
        <f>AD35/AC35-1</f>
        <v>-0.3785008541584257</v>
      </c>
      <c r="AE36" s="97">
        <f>AE35/AD35-1</f>
        <v>0.24849887918643976</v>
      </c>
      <c r="AF36" s="356"/>
      <c r="AG36" s="356"/>
    </row>
    <row r="37" spans="1:31" ht="12.75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23"/>
      <c r="Z37" s="121"/>
      <c r="AA37" s="121"/>
      <c r="AB37" s="121"/>
      <c r="AC37" s="121"/>
      <c r="AD37" s="121"/>
      <c r="AE37" s="121"/>
    </row>
    <row r="38" spans="1:31" ht="12.75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32"/>
      <c r="Z38" s="115"/>
      <c r="AA38" s="115"/>
      <c r="AB38" s="115"/>
      <c r="AC38" s="115"/>
      <c r="AD38" s="115"/>
      <c r="AE38" s="115"/>
    </row>
    <row r="39" spans="1:31" ht="12.75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6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6" t="s">
        <v>247</v>
      </c>
      <c r="V39" s="86" t="s">
        <v>251</v>
      </c>
      <c r="W39" s="86" t="s">
        <v>252</v>
      </c>
      <c r="X39" s="86" t="s">
        <v>257</v>
      </c>
      <c r="Y39" s="88"/>
      <c r="Z39" s="86">
        <v>2005</v>
      </c>
      <c r="AA39" s="86">
        <v>2006</v>
      </c>
      <c r="AB39" s="86">
        <v>2007</v>
      </c>
      <c r="AC39" s="86">
        <v>2008</v>
      </c>
      <c r="AD39" s="86">
        <v>2009</v>
      </c>
      <c r="AE39" s="86">
        <v>2010</v>
      </c>
    </row>
    <row r="40" spans="1:31" ht="12.75">
      <c r="A40" s="103" t="s">
        <v>19</v>
      </c>
      <c r="B40" s="357">
        <v>0.3206692001288977</v>
      </c>
      <c r="C40" s="357">
        <v>0.34730559872182487</v>
      </c>
      <c r="D40" s="357">
        <v>0.3743140532653503</v>
      </c>
      <c r="E40" s="357">
        <v>0.3756486524527018</v>
      </c>
      <c r="F40" s="357">
        <v>0.3239</v>
      </c>
      <c r="G40" s="357">
        <v>0.3438682138452177</v>
      </c>
      <c r="H40" s="357">
        <v>0.3498455842786622</v>
      </c>
      <c r="I40" s="357">
        <v>0.33897512395842927</v>
      </c>
      <c r="J40" s="353">
        <v>0.28382151503482367</v>
      </c>
      <c r="K40" s="353">
        <v>0.33101632611828447</v>
      </c>
      <c r="L40" s="353">
        <v>0.34782636874524747</v>
      </c>
      <c r="M40" s="353">
        <v>0.32644015932224824</v>
      </c>
      <c r="N40" s="353">
        <f>N30/(N26+18.233)</f>
        <v>0.07903309488111601</v>
      </c>
      <c r="O40" s="353">
        <f>O30/(O26+42.316)</f>
        <v>0.07308805562471041</v>
      </c>
      <c r="P40" s="353">
        <f>P30/(P26+74.763)</f>
        <v>0.11313068451147999</v>
      </c>
      <c r="Q40" s="353">
        <f>Q30/(Q26+98.911)</f>
        <v>0.145266055500844</v>
      </c>
      <c r="R40" s="353">
        <f>R30/(R26+21.062)</f>
        <v>0.13960127509446324</v>
      </c>
      <c r="S40" s="353">
        <f>S30/(S26+53.407)</f>
        <v>0.16921668867283074</v>
      </c>
      <c r="T40" s="353">
        <f>T30/(T26+84.618)</f>
        <v>0.16606726651749262</v>
      </c>
      <c r="U40" s="353">
        <f>U30/(U26+130.44)</f>
        <v>0.1486182467494795</v>
      </c>
      <c r="V40" s="353">
        <f>V30/(V26+48.674)</f>
        <v>0.10886282293795041</v>
      </c>
      <c r="W40" s="353">
        <f>W30/(W26+95.436)</f>
        <v>0.12505806545371503</v>
      </c>
      <c r="X40" s="353"/>
      <c r="Y40" s="353"/>
      <c r="Z40" s="357">
        <v>0.36278650683701785</v>
      </c>
      <c r="AA40" s="357">
        <v>0.3756486524527018</v>
      </c>
      <c r="AB40" s="357">
        <v>0.33897512395842927</v>
      </c>
      <c r="AC40" s="357">
        <v>0.32644015932224824</v>
      </c>
      <c r="AD40" s="357">
        <f>Q40</f>
        <v>0.145266055500844</v>
      </c>
      <c r="AE40" s="357">
        <f>U40</f>
        <v>0.1486182467494795</v>
      </c>
    </row>
    <row r="41" spans="1:33" s="81" customFormat="1" ht="12.75">
      <c r="A41" s="89" t="s">
        <v>150</v>
      </c>
      <c r="B41" s="108" t="s">
        <v>156</v>
      </c>
      <c r="C41" s="108" t="s">
        <v>156</v>
      </c>
      <c r="D41" s="108" t="s">
        <v>156</v>
      </c>
      <c r="E41" s="135">
        <v>4.423449071645861</v>
      </c>
      <c r="F41" s="108" t="s">
        <v>156</v>
      </c>
      <c r="G41" s="108" t="s">
        <v>156</v>
      </c>
      <c r="H41" s="108" t="s">
        <v>156</v>
      </c>
      <c r="I41" s="135">
        <v>2.975244283267856</v>
      </c>
      <c r="J41" s="108" t="s">
        <v>156</v>
      </c>
      <c r="K41" s="108" t="s">
        <v>156</v>
      </c>
      <c r="L41" s="108" t="s">
        <v>156</v>
      </c>
      <c r="M41" s="135">
        <v>2.337934486990566</v>
      </c>
      <c r="N41" s="135" t="s">
        <v>156</v>
      </c>
      <c r="O41" s="135" t="s">
        <v>156</v>
      </c>
      <c r="P41" s="135" t="s">
        <v>156</v>
      </c>
      <c r="Q41" s="135">
        <f>Q30/Q35</f>
        <v>0.9151060955238565</v>
      </c>
      <c r="R41" s="135" t="s">
        <v>156</v>
      </c>
      <c r="S41" s="135" t="s">
        <v>156</v>
      </c>
      <c r="T41" s="135" t="s">
        <v>156</v>
      </c>
      <c r="U41" s="135">
        <f>U30/U35</f>
        <v>1.0117166929963137</v>
      </c>
      <c r="V41" s="135" t="s">
        <v>156</v>
      </c>
      <c r="W41" s="135" t="s">
        <v>156</v>
      </c>
      <c r="X41" s="135"/>
      <c r="Y41" s="108"/>
      <c r="Z41" s="135">
        <v>3.0473756005456414</v>
      </c>
      <c r="AA41" s="135">
        <v>4.423449071645861</v>
      </c>
      <c r="AB41" s="135">
        <v>2.975244283267856</v>
      </c>
      <c r="AC41" s="135">
        <v>2.337934486990566</v>
      </c>
      <c r="AD41" s="135">
        <f>Q41</f>
        <v>0.9151060955238565</v>
      </c>
      <c r="AE41" s="135">
        <f>U41</f>
        <v>1.0117166929963137</v>
      </c>
      <c r="AF41" s="137"/>
      <c r="AG41" s="137"/>
    </row>
    <row r="42" spans="1:33" s="81" customFormat="1" ht="12.75">
      <c r="A42" s="89" t="s">
        <v>151</v>
      </c>
      <c r="B42" s="108" t="s">
        <v>156</v>
      </c>
      <c r="C42" s="108" t="s">
        <v>156</v>
      </c>
      <c r="D42" s="108" t="s">
        <v>156</v>
      </c>
      <c r="E42" s="135">
        <v>2.1273699432284783</v>
      </c>
      <c r="F42" s="108" t="s">
        <v>156</v>
      </c>
      <c r="G42" s="108" t="s">
        <v>156</v>
      </c>
      <c r="H42" s="108" t="s">
        <v>156</v>
      </c>
      <c r="I42" s="135">
        <v>2.9930465260896604</v>
      </c>
      <c r="J42" s="108" t="s">
        <v>156</v>
      </c>
      <c r="K42" s="108" t="s">
        <v>156</v>
      </c>
      <c r="L42" s="108" t="s">
        <v>156</v>
      </c>
      <c r="M42" s="135">
        <v>4.840274782498922</v>
      </c>
      <c r="N42" s="135" t="s">
        <v>156</v>
      </c>
      <c r="O42" s="135" t="s">
        <v>156</v>
      </c>
      <c r="P42" s="135" t="s">
        <v>156</v>
      </c>
      <c r="Q42" s="135">
        <f>Q35/Q28</f>
        <v>2.9267875785551984</v>
      </c>
      <c r="R42" s="135" t="s">
        <v>156</v>
      </c>
      <c r="S42" s="135" t="s">
        <v>156</v>
      </c>
      <c r="T42" s="135" t="s">
        <v>156</v>
      </c>
      <c r="U42" s="135">
        <f>U35/U28</f>
        <v>3.471236055563838</v>
      </c>
      <c r="V42" s="135" t="s">
        <v>156</v>
      </c>
      <c r="W42" s="135" t="s">
        <v>156</v>
      </c>
      <c r="X42" s="135"/>
      <c r="Y42" s="108"/>
      <c r="Z42" s="135">
        <v>2.532440495788231</v>
      </c>
      <c r="AA42" s="135">
        <v>2.1273699432284783</v>
      </c>
      <c r="AB42" s="135">
        <v>2.9930465260896604</v>
      </c>
      <c r="AC42" s="135">
        <v>4.840274782498922</v>
      </c>
      <c r="AD42" s="135">
        <f>Q42</f>
        <v>2.9267875785551984</v>
      </c>
      <c r="AE42" s="135">
        <f>U42</f>
        <v>3.471236055563838</v>
      </c>
      <c r="AF42" s="137"/>
      <c r="AG42" s="137"/>
    </row>
    <row r="43" spans="1:31" ht="12.75">
      <c r="A43" s="103"/>
      <c r="B43" s="106"/>
      <c r="C43" s="106"/>
      <c r="D43" s="106"/>
      <c r="E43" s="106"/>
      <c r="F43" s="106"/>
      <c r="G43" s="106"/>
      <c r="H43" s="106"/>
      <c r="I43" s="106"/>
      <c r="J43" s="358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358"/>
      <c r="Z43" s="106"/>
      <c r="AA43" s="106"/>
      <c r="AB43" s="106"/>
      <c r="AC43" s="106"/>
      <c r="AD43" s="106"/>
      <c r="AE43" s="106"/>
    </row>
    <row r="44" spans="1:31" ht="12.75">
      <c r="A44" s="103" t="s">
        <v>157</v>
      </c>
      <c r="B44" s="108">
        <v>159.4</v>
      </c>
      <c r="C44" s="106">
        <v>163.4</v>
      </c>
      <c r="D44" s="106">
        <v>167.2</v>
      </c>
      <c r="E44" s="106">
        <v>169.2</v>
      </c>
      <c r="F44" s="106">
        <v>196.5</v>
      </c>
      <c r="G44" s="106">
        <v>203</v>
      </c>
      <c r="H44" s="106">
        <v>213</v>
      </c>
      <c r="I44" s="106">
        <v>221</v>
      </c>
      <c r="J44" s="108">
        <v>282</v>
      </c>
      <c r="K44" s="106">
        <v>309</v>
      </c>
      <c r="L44" s="106">
        <v>329</v>
      </c>
      <c r="M44" s="106">
        <v>347</v>
      </c>
      <c r="N44" s="106">
        <v>243</v>
      </c>
      <c r="O44" s="106">
        <v>220</v>
      </c>
      <c r="P44" s="106">
        <v>213</v>
      </c>
      <c r="Q44" s="106">
        <v>240</v>
      </c>
      <c r="R44" s="106">
        <v>286</v>
      </c>
      <c r="S44" s="106">
        <v>325</v>
      </c>
      <c r="T44" s="106">
        <v>330</v>
      </c>
      <c r="U44" s="106">
        <v>318</v>
      </c>
      <c r="V44" s="106">
        <v>361</v>
      </c>
      <c r="W44" s="106">
        <v>406</v>
      </c>
      <c r="X44" s="106"/>
      <c r="Y44" s="108"/>
      <c r="Z44" s="106">
        <v>173</v>
      </c>
      <c r="AA44" s="106">
        <v>169.2</v>
      </c>
      <c r="AB44" s="106">
        <v>221</v>
      </c>
      <c r="AC44" s="106">
        <v>347</v>
      </c>
      <c r="AD44" s="106">
        <f>Q44</f>
        <v>240</v>
      </c>
      <c r="AE44" s="106">
        <f>U44</f>
        <v>318</v>
      </c>
    </row>
    <row r="45" spans="1:31" ht="12.75">
      <c r="A45" s="103" t="s">
        <v>179</v>
      </c>
      <c r="B45" s="106">
        <v>146.30341614179122</v>
      </c>
      <c r="C45" s="106">
        <v>177.21202964955023</v>
      </c>
      <c r="D45" s="106">
        <v>213.84685671395485</v>
      </c>
      <c r="E45" s="106">
        <v>227.63536767228024</v>
      </c>
      <c r="F45" s="106">
        <v>217.69320039125628</v>
      </c>
      <c r="G45" s="106">
        <v>253.30322741067468</v>
      </c>
      <c r="H45" s="106">
        <v>265.96172566352317</v>
      </c>
      <c r="I45" s="106">
        <v>258.89338144602516</v>
      </c>
      <c r="J45" s="108">
        <v>248.4766319927568</v>
      </c>
      <c r="K45" s="106">
        <v>343.52152698387897</v>
      </c>
      <c r="L45" s="106">
        <v>405.4003798220384</v>
      </c>
      <c r="M45" s="106">
        <v>380.17665269492977</v>
      </c>
      <c r="N45" s="106">
        <f aca="true" t="shared" si="0" ref="N45:U45">N30/N4*1000</f>
        <v>48.19162337632599</v>
      </c>
      <c r="O45" s="106">
        <f t="shared" si="0"/>
        <v>43.185113535223536</v>
      </c>
      <c r="P45" s="106">
        <f t="shared" si="0"/>
        <v>65.59422733569382</v>
      </c>
      <c r="Q45" s="106">
        <f t="shared" si="0"/>
        <v>87.98433498581097</v>
      </c>
      <c r="R45" s="106">
        <f t="shared" si="0"/>
        <v>84.70636573191356</v>
      </c>
      <c r="S45" s="106">
        <f t="shared" si="0"/>
        <v>114.45831671320303</v>
      </c>
      <c r="T45" s="106">
        <f t="shared" si="0"/>
        <v>117.39646038121639</v>
      </c>
      <c r="U45" s="106">
        <f t="shared" si="0"/>
        <v>107.38132989792885</v>
      </c>
      <c r="V45" s="106">
        <f>V30/V4*1000</f>
        <v>95.2646521413595</v>
      </c>
      <c r="W45" s="106">
        <f>W30/W4*1000</f>
        <v>115.70286651054654</v>
      </c>
      <c r="X45" s="106"/>
      <c r="Y45" s="108"/>
      <c r="Z45" s="106">
        <v>185.7730434240014</v>
      </c>
      <c r="AA45" s="106">
        <v>227.63536767228024</v>
      </c>
      <c r="AB45" s="106">
        <v>258.89338144602516</v>
      </c>
      <c r="AC45" s="106">
        <v>380.17665269492977</v>
      </c>
      <c r="AD45" s="106">
        <f>Q45</f>
        <v>87.98433498581097</v>
      </c>
      <c r="AE45" s="106">
        <f>U45</f>
        <v>107.38132989792885</v>
      </c>
    </row>
    <row r="46" spans="1:31" ht="12.75">
      <c r="A46" s="120"/>
      <c r="B46" s="359"/>
      <c r="C46" s="359"/>
      <c r="D46" s="359"/>
      <c r="E46" s="359"/>
      <c r="F46" s="359"/>
      <c r="G46" s="359"/>
      <c r="H46" s="360"/>
      <c r="I46" s="360"/>
      <c r="J46" s="361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8"/>
      <c r="Z46" s="360"/>
      <c r="AA46" s="360"/>
      <c r="AB46" s="360"/>
      <c r="AC46" s="360"/>
      <c r="AD46" s="360"/>
      <c r="AE46" s="360"/>
    </row>
    <row r="47" spans="1:29" ht="12.75">
      <c r="A47" s="103"/>
      <c r="B47" s="136"/>
      <c r="C47" s="136"/>
      <c r="D47" s="136"/>
      <c r="E47" s="136"/>
      <c r="F47" s="136"/>
      <c r="G47" s="136"/>
      <c r="H47" s="103"/>
      <c r="I47" s="103"/>
      <c r="J47" s="362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362"/>
      <c r="Z47" s="103"/>
      <c r="AA47" s="103"/>
      <c r="AB47" s="103"/>
      <c r="AC47" s="103"/>
    </row>
    <row r="48" spans="1:29" ht="12.75">
      <c r="A48" s="363" t="s">
        <v>232</v>
      </c>
      <c r="B48" s="136"/>
      <c r="C48" s="136"/>
      <c r="D48" s="136"/>
      <c r="E48" s="136"/>
      <c r="F48" s="136"/>
      <c r="G48" s="136"/>
      <c r="H48" s="103"/>
      <c r="I48" s="103"/>
      <c r="J48" s="362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362"/>
      <c r="Z48" s="103"/>
      <c r="AA48" s="103"/>
      <c r="AB48" s="103"/>
      <c r="AC48" s="103"/>
    </row>
    <row r="49" spans="1:29" ht="12.75">
      <c r="A49" s="363" t="s">
        <v>233</v>
      </c>
      <c r="B49" s="136"/>
      <c r="C49" s="136"/>
      <c r="D49" s="364"/>
      <c r="E49" s="364"/>
      <c r="F49" s="136"/>
      <c r="G49" s="136"/>
      <c r="H49" s="365"/>
      <c r="I49" s="365"/>
      <c r="J49" s="362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362"/>
      <c r="Z49" s="365"/>
      <c r="AA49" s="365"/>
      <c r="AB49" s="365"/>
      <c r="AC49" s="365"/>
    </row>
    <row r="50" spans="1:29" ht="12.75">
      <c r="A50" s="103"/>
      <c r="B50" s="136"/>
      <c r="C50" s="136"/>
      <c r="D50" s="366"/>
      <c r="E50" s="366"/>
      <c r="F50" s="136"/>
      <c r="G50" s="136"/>
      <c r="H50" s="365"/>
      <c r="I50" s="365"/>
      <c r="J50" s="362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362"/>
      <c r="Z50" s="365"/>
      <c r="AA50" s="365"/>
      <c r="AB50" s="365"/>
      <c r="AC50" s="365"/>
    </row>
    <row r="51" spans="1:29" ht="12.75">
      <c r="A51" s="103"/>
      <c r="B51" s="136"/>
      <c r="C51" s="136"/>
      <c r="D51" s="364"/>
      <c r="E51" s="364"/>
      <c r="F51" s="136"/>
      <c r="G51" s="136"/>
      <c r="H51" s="365"/>
      <c r="I51" s="365"/>
      <c r="J51" s="362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362"/>
      <c r="Z51" s="365"/>
      <c r="AA51" s="365"/>
      <c r="AB51" s="365"/>
      <c r="AC51" s="365"/>
    </row>
    <row r="52" spans="1:29" ht="12.75">
      <c r="A52" s="103"/>
      <c r="B52" s="136"/>
      <c r="C52" s="136"/>
      <c r="D52" s="365"/>
      <c r="E52" s="365"/>
      <c r="F52" s="365"/>
      <c r="G52" s="365"/>
      <c r="H52" s="365"/>
      <c r="I52" s="365"/>
      <c r="J52" s="367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7"/>
      <c r="Z52" s="365"/>
      <c r="AA52" s="365"/>
      <c r="AB52" s="365"/>
      <c r="AC52" s="365"/>
    </row>
    <row r="53" spans="1:29" ht="12.75">
      <c r="A53" s="103"/>
      <c r="B53" s="136"/>
      <c r="C53" s="364"/>
      <c r="D53" s="365"/>
      <c r="E53" s="365"/>
      <c r="F53" s="365"/>
      <c r="G53" s="365"/>
      <c r="H53" s="365"/>
      <c r="I53" s="365"/>
      <c r="J53" s="367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7"/>
      <c r="Z53" s="365"/>
      <c r="AA53" s="365"/>
      <c r="AB53" s="365"/>
      <c r="AC53" s="365"/>
    </row>
    <row r="54" spans="1:29" ht="12.75">
      <c r="A54" s="103"/>
      <c r="B54" s="136"/>
      <c r="C54" s="364"/>
      <c r="D54" s="364"/>
      <c r="E54" s="364"/>
      <c r="F54" s="136"/>
      <c r="G54" s="136"/>
      <c r="H54" s="365"/>
      <c r="I54" s="365"/>
      <c r="J54" s="362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362"/>
      <c r="Z54" s="365"/>
      <c r="AA54" s="365"/>
      <c r="AB54" s="365"/>
      <c r="AC54" s="365"/>
    </row>
    <row r="55" spans="1:29" ht="12.75">
      <c r="A55" s="103"/>
      <c r="B55" s="136"/>
      <c r="C55" s="366"/>
      <c r="D55" s="365"/>
      <c r="E55" s="364"/>
      <c r="F55" s="136"/>
      <c r="G55" s="136"/>
      <c r="I55" s="365"/>
      <c r="J55" s="362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362"/>
      <c r="Z55" s="365"/>
      <c r="AA55" s="365"/>
      <c r="AB55" s="365"/>
      <c r="AC55" s="365"/>
    </row>
    <row r="56" spans="1:29" ht="12.75">
      <c r="A56" s="103"/>
      <c r="B56" s="136"/>
      <c r="C56" s="364"/>
      <c r="D56" s="364"/>
      <c r="E56" s="364"/>
      <c r="F56" s="136"/>
      <c r="G56" s="136"/>
      <c r="H56" s="365"/>
      <c r="I56" s="365"/>
      <c r="J56" s="362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362"/>
      <c r="Z56" s="365"/>
      <c r="AA56" s="365"/>
      <c r="AB56" s="365"/>
      <c r="AC56" s="365"/>
    </row>
    <row r="57" spans="1:29" ht="12.75">
      <c r="A57" s="103"/>
      <c r="B57" s="136"/>
      <c r="C57" s="366"/>
      <c r="D57" s="364"/>
      <c r="E57" s="364"/>
      <c r="F57" s="136"/>
      <c r="G57" s="136"/>
      <c r="H57" s="365"/>
      <c r="I57" s="365"/>
      <c r="J57" s="362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362"/>
      <c r="Z57" s="365"/>
      <c r="AA57" s="365"/>
      <c r="AB57" s="365"/>
      <c r="AC57" s="365"/>
    </row>
    <row r="58" spans="1:33" s="284" customFormat="1" ht="12.75">
      <c r="A58" s="103"/>
      <c r="B58" s="136"/>
      <c r="C58" s="366"/>
      <c r="D58" s="364"/>
      <c r="E58" s="364"/>
      <c r="F58" s="136"/>
      <c r="G58" s="136"/>
      <c r="H58" s="365"/>
      <c r="I58" s="365"/>
      <c r="J58" s="362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362"/>
      <c r="Z58" s="365"/>
      <c r="AA58" s="365"/>
      <c r="AB58" s="365"/>
      <c r="AC58" s="365"/>
      <c r="AD58" s="341"/>
      <c r="AE58" s="341"/>
      <c r="AF58" s="338"/>
      <c r="AG58" s="338"/>
    </row>
    <row r="59" spans="1:29" ht="12.75">
      <c r="A59" s="103"/>
      <c r="B59" s="136"/>
      <c r="C59" s="366"/>
      <c r="D59" s="364"/>
      <c r="E59" s="364"/>
      <c r="F59" s="136"/>
      <c r="G59" s="136"/>
      <c r="H59" s="365"/>
      <c r="I59" s="365"/>
      <c r="J59" s="362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362"/>
      <c r="Z59" s="365"/>
      <c r="AA59" s="365"/>
      <c r="AB59" s="365"/>
      <c r="AC59" s="365"/>
    </row>
    <row r="60" spans="1:33" s="284" customFormat="1" ht="12.75">
      <c r="A60" s="103"/>
      <c r="B60" s="136"/>
      <c r="C60" s="366"/>
      <c r="D60" s="364"/>
      <c r="E60" s="364"/>
      <c r="F60" s="136"/>
      <c r="G60" s="136"/>
      <c r="H60" s="365"/>
      <c r="I60" s="365"/>
      <c r="J60" s="362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362"/>
      <c r="Z60" s="365"/>
      <c r="AA60" s="365"/>
      <c r="AB60" s="365"/>
      <c r="AC60" s="365"/>
      <c r="AD60" s="341"/>
      <c r="AE60" s="341"/>
      <c r="AF60" s="338"/>
      <c r="AG60" s="338"/>
    </row>
    <row r="61" spans="1:29" ht="12.75">
      <c r="A61" s="103"/>
      <c r="B61" s="136"/>
      <c r="C61" s="364"/>
      <c r="D61" s="364"/>
      <c r="E61" s="364"/>
      <c r="F61" s="364"/>
      <c r="G61" s="364"/>
      <c r="H61" s="365"/>
      <c r="I61" s="365"/>
      <c r="J61" s="368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8"/>
      <c r="Z61" s="365"/>
      <c r="AA61" s="365"/>
      <c r="AB61" s="365"/>
      <c r="AC61" s="365"/>
    </row>
    <row r="62" spans="1:29" ht="12.75">
      <c r="A62" s="103"/>
      <c r="B62" s="136"/>
      <c r="C62" s="364"/>
      <c r="D62" s="364"/>
      <c r="E62" s="364"/>
      <c r="F62" s="364"/>
      <c r="G62" s="364"/>
      <c r="H62" s="365"/>
      <c r="I62" s="365"/>
      <c r="J62" s="368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8"/>
      <c r="Z62" s="365"/>
      <c r="AA62" s="365"/>
      <c r="AB62" s="365"/>
      <c r="AC62" s="365"/>
    </row>
    <row r="63" spans="1:29" ht="12.75">
      <c r="A63" s="103"/>
      <c r="B63" s="136"/>
      <c r="C63" s="364"/>
      <c r="D63" s="364"/>
      <c r="E63" s="364"/>
      <c r="F63" s="364"/>
      <c r="G63" s="364"/>
      <c r="H63" s="365"/>
      <c r="I63" s="365"/>
      <c r="J63" s="368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8"/>
      <c r="Z63" s="365"/>
      <c r="AA63" s="365"/>
      <c r="AB63" s="365"/>
      <c r="AC63" s="365"/>
    </row>
    <row r="64" spans="1:29" ht="12.75">
      <c r="A64" s="103"/>
      <c r="B64" s="136"/>
      <c r="C64" s="364"/>
      <c r="D64" s="364"/>
      <c r="E64" s="364"/>
      <c r="F64" s="364"/>
      <c r="G64" s="364"/>
      <c r="H64" s="365"/>
      <c r="I64" s="365"/>
      <c r="J64" s="368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8"/>
      <c r="Z64" s="365"/>
      <c r="AA64" s="365"/>
      <c r="AB64" s="365"/>
      <c r="AC64" s="365"/>
    </row>
    <row r="65" spans="1:29" ht="12.75">
      <c r="A65" s="103"/>
      <c r="B65" s="136"/>
      <c r="C65" s="364"/>
      <c r="D65" s="364"/>
      <c r="E65" s="364"/>
      <c r="F65" s="364"/>
      <c r="G65" s="364"/>
      <c r="H65" s="365"/>
      <c r="I65" s="365"/>
      <c r="J65" s="368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8"/>
      <c r="Z65" s="365"/>
      <c r="AA65" s="365"/>
      <c r="AB65" s="365"/>
      <c r="AC65" s="365"/>
    </row>
    <row r="66" spans="1:29" ht="12.75">
      <c r="A66" s="103"/>
      <c r="B66" s="136"/>
      <c r="C66" s="364"/>
      <c r="D66" s="364"/>
      <c r="E66" s="364"/>
      <c r="F66" s="364"/>
      <c r="G66" s="364"/>
      <c r="H66" s="365"/>
      <c r="I66" s="365"/>
      <c r="J66" s="368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8"/>
      <c r="Z66" s="365"/>
      <c r="AA66" s="365"/>
      <c r="AB66" s="365"/>
      <c r="AC66" s="365"/>
    </row>
    <row r="67" spans="1:29" ht="12.75">
      <c r="A67" s="103"/>
      <c r="B67" s="136"/>
      <c r="C67" s="369"/>
      <c r="D67" s="369"/>
      <c r="E67" s="369"/>
      <c r="F67" s="369"/>
      <c r="G67" s="369"/>
      <c r="H67" s="370"/>
      <c r="I67" s="370"/>
      <c r="J67" s="371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71"/>
      <c r="Z67" s="370"/>
      <c r="AA67" s="370"/>
      <c r="AB67" s="370"/>
      <c r="AC67" s="370"/>
    </row>
    <row r="68" spans="1:29" ht="12.75">
      <c r="A68" s="103"/>
      <c r="B68" s="369"/>
      <c r="C68" s="369"/>
      <c r="D68" s="369"/>
      <c r="E68" s="369"/>
      <c r="F68" s="369"/>
      <c r="G68" s="369"/>
      <c r="H68" s="370"/>
      <c r="I68" s="370"/>
      <c r="J68" s="371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71"/>
      <c r="Z68" s="370"/>
      <c r="AA68" s="370"/>
      <c r="AB68" s="370"/>
      <c r="AC68" s="370"/>
    </row>
    <row r="69" spans="1:29" ht="12.75">
      <c r="A69" s="103"/>
      <c r="B69" s="369"/>
      <c r="C69" s="369"/>
      <c r="D69" s="369"/>
      <c r="E69" s="369"/>
      <c r="F69" s="369"/>
      <c r="G69" s="369"/>
      <c r="H69" s="370"/>
      <c r="I69" s="370"/>
      <c r="J69" s="371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71"/>
      <c r="Z69" s="370"/>
      <c r="AA69" s="370"/>
      <c r="AB69" s="370"/>
      <c r="AC69" s="370"/>
    </row>
    <row r="70" spans="1:29" ht="12.75">
      <c r="A70" s="103"/>
      <c r="B70" s="369"/>
      <c r="C70" s="369"/>
      <c r="D70" s="369"/>
      <c r="E70" s="369"/>
      <c r="F70" s="369"/>
      <c r="G70" s="369"/>
      <c r="H70" s="370"/>
      <c r="I70" s="370"/>
      <c r="J70" s="371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71"/>
      <c r="Z70" s="370"/>
      <c r="AA70" s="370"/>
      <c r="AB70" s="370"/>
      <c r="AC70" s="370"/>
    </row>
    <row r="71" spans="1:29" ht="12.75">
      <c r="A71" s="103"/>
      <c r="B71" s="369"/>
      <c r="C71" s="369"/>
      <c r="D71" s="369"/>
      <c r="E71" s="369"/>
      <c r="F71" s="369"/>
      <c r="G71" s="369"/>
      <c r="H71" s="370"/>
      <c r="I71" s="370"/>
      <c r="J71" s="371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71"/>
      <c r="Z71" s="370"/>
      <c r="AA71" s="370"/>
      <c r="AB71" s="370"/>
      <c r="AC71" s="370"/>
    </row>
    <row r="72" spans="1:29" ht="12.75">
      <c r="A72" s="103"/>
      <c r="B72" s="369"/>
      <c r="C72" s="369"/>
      <c r="D72" s="369"/>
      <c r="E72" s="369"/>
      <c r="F72" s="369"/>
      <c r="G72" s="369"/>
      <c r="H72" s="370"/>
      <c r="I72" s="370"/>
      <c r="J72" s="371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71"/>
      <c r="Z72" s="370"/>
      <c r="AA72" s="370"/>
      <c r="AB72" s="370"/>
      <c r="AC72" s="370"/>
    </row>
    <row r="73" spans="1:29" ht="12.75">
      <c r="A73" s="103"/>
      <c r="B73" s="369"/>
      <c r="C73" s="369"/>
      <c r="D73" s="369"/>
      <c r="E73" s="369"/>
      <c r="F73" s="369"/>
      <c r="G73" s="369"/>
      <c r="H73" s="370"/>
      <c r="I73" s="370"/>
      <c r="J73" s="371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71"/>
      <c r="Z73" s="370"/>
      <c r="AA73" s="370"/>
      <c r="AB73" s="370"/>
      <c r="AC73" s="370"/>
    </row>
    <row r="74" spans="1:33" s="284" customFormat="1" ht="12.75">
      <c r="A74" s="103"/>
      <c r="B74" s="369"/>
      <c r="C74" s="369"/>
      <c r="D74" s="369"/>
      <c r="E74" s="369"/>
      <c r="F74" s="369"/>
      <c r="G74" s="369"/>
      <c r="H74" s="370"/>
      <c r="I74" s="370"/>
      <c r="J74" s="371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71"/>
      <c r="Z74" s="370"/>
      <c r="AA74" s="370"/>
      <c r="AB74" s="370"/>
      <c r="AC74" s="370"/>
      <c r="AD74" s="341"/>
      <c r="AE74" s="341"/>
      <c r="AF74" s="338"/>
      <c r="AG74" s="338"/>
    </row>
    <row r="75" spans="1:29" ht="12.75">
      <c r="A75" s="103"/>
      <c r="B75" s="369"/>
      <c r="C75" s="369"/>
      <c r="D75" s="369"/>
      <c r="E75" s="369"/>
      <c r="F75" s="369"/>
      <c r="G75" s="369"/>
      <c r="H75" s="370"/>
      <c r="I75" s="370"/>
      <c r="J75" s="371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71"/>
      <c r="Z75" s="370"/>
      <c r="AA75" s="370"/>
      <c r="AB75" s="370"/>
      <c r="AC75" s="370"/>
    </row>
    <row r="76" spans="1:29" ht="12.75">
      <c r="A76" s="103"/>
      <c r="B76" s="369"/>
      <c r="C76" s="369"/>
      <c r="D76" s="369"/>
      <c r="E76" s="369"/>
      <c r="F76" s="369"/>
      <c r="G76" s="369"/>
      <c r="H76" s="370"/>
      <c r="I76" s="370"/>
      <c r="J76" s="371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71"/>
      <c r="Z76" s="370"/>
      <c r="AA76" s="370"/>
      <c r="AB76" s="370"/>
      <c r="AC76" s="370"/>
    </row>
    <row r="77" spans="1:29" ht="12.75">
      <c r="A77" s="103"/>
      <c r="B77" s="369"/>
      <c r="C77" s="369"/>
      <c r="D77" s="369"/>
      <c r="E77" s="369"/>
      <c r="F77" s="369"/>
      <c r="G77" s="369"/>
      <c r="H77" s="370"/>
      <c r="I77" s="370"/>
      <c r="J77" s="371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71"/>
      <c r="Z77" s="370"/>
      <c r="AA77" s="370"/>
      <c r="AB77" s="370"/>
      <c r="AC77" s="370"/>
    </row>
    <row r="78" spans="1:33" s="284" customFormat="1" ht="12.75">
      <c r="A78" s="103"/>
      <c r="B78" s="369"/>
      <c r="C78" s="369"/>
      <c r="D78" s="369"/>
      <c r="E78" s="369"/>
      <c r="F78" s="369"/>
      <c r="G78" s="369"/>
      <c r="H78" s="370"/>
      <c r="I78" s="370"/>
      <c r="J78" s="371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71"/>
      <c r="Z78" s="370"/>
      <c r="AA78" s="370"/>
      <c r="AB78" s="370"/>
      <c r="AC78" s="370"/>
      <c r="AD78" s="341"/>
      <c r="AE78" s="341"/>
      <c r="AF78" s="338"/>
      <c r="AG78" s="338"/>
    </row>
    <row r="79" spans="1:29" ht="12.75">
      <c r="A79" s="103"/>
      <c r="B79" s="369"/>
      <c r="C79" s="369"/>
      <c r="D79" s="369"/>
      <c r="E79" s="369"/>
      <c r="F79" s="369"/>
      <c r="G79" s="369"/>
      <c r="H79" s="370"/>
      <c r="I79" s="370"/>
      <c r="J79" s="371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71"/>
      <c r="Z79" s="370"/>
      <c r="AA79" s="370"/>
      <c r="AB79" s="370"/>
      <c r="AC79" s="370"/>
    </row>
    <row r="80" spans="1:33" s="284" customFormat="1" ht="12.75">
      <c r="A80" s="103"/>
      <c r="B80" s="369"/>
      <c r="C80" s="369"/>
      <c r="D80" s="369"/>
      <c r="E80" s="369"/>
      <c r="F80" s="369"/>
      <c r="G80" s="369"/>
      <c r="H80" s="370"/>
      <c r="I80" s="370"/>
      <c r="J80" s="371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71"/>
      <c r="Z80" s="370"/>
      <c r="AA80" s="370"/>
      <c r="AB80" s="370"/>
      <c r="AC80" s="370"/>
      <c r="AD80" s="341"/>
      <c r="AE80" s="341"/>
      <c r="AF80" s="338"/>
      <c r="AG80" s="338"/>
    </row>
    <row r="81" spans="1:29" ht="12.75">
      <c r="A81" s="103"/>
      <c r="B81" s="369"/>
      <c r="C81" s="369"/>
      <c r="D81" s="369"/>
      <c r="E81" s="369"/>
      <c r="F81" s="369"/>
      <c r="G81" s="369"/>
      <c r="H81" s="370"/>
      <c r="I81" s="370"/>
      <c r="J81" s="371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71"/>
      <c r="Z81" s="370"/>
      <c r="AA81" s="370"/>
      <c r="AB81" s="370"/>
      <c r="AC81" s="370"/>
    </row>
    <row r="82" spans="1:29" ht="12.75">
      <c r="A82" s="103"/>
      <c r="B82" s="369"/>
      <c r="C82" s="369"/>
      <c r="D82" s="369"/>
      <c r="E82" s="369"/>
      <c r="F82" s="369"/>
      <c r="G82" s="369"/>
      <c r="H82" s="370"/>
      <c r="I82" s="370"/>
      <c r="J82" s="371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71"/>
      <c r="Z82" s="370"/>
      <c r="AA82" s="370"/>
      <c r="AB82" s="370"/>
      <c r="AC82" s="370"/>
    </row>
    <row r="83" spans="1:29" ht="12.75">
      <c r="A83" s="103"/>
      <c r="B83" s="369"/>
      <c r="C83" s="369"/>
      <c r="D83" s="369"/>
      <c r="E83" s="369"/>
      <c r="F83" s="369"/>
      <c r="G83" s="369"/>
      <c r="H83" s="370"/>
      <c r="I83" s="370"/>
      <c r="J83" s="371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71"/>
      <c r="Z83" s="370"/>
      <c r="AA83" s="370"/>
      <c r="AB83" s="370"/>
      <c r="AC83" s="370"/>
    </row>
    <row r="84" spans="1:29" ht="12.75">
      <c r="A84" s="103"/>
      <c r="B84" s="369"/>
      <c r="C84" s="369"/>
      <c r="D84" s="369"/>
      <c r="E84" s="369"/>
      <c r="F84" s="369"/>
      <c r="G84" s="369"/>
      <c r="H84" s="370"/>
      <c r="I84" s="370"/>
      <c r="J84" s="371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71"/>
      <c r="Z84" s="370"/>
      <c r="AA84" s="370"/>
      <c r="AB84" s="370"/>
      <c r="AC84" s="370"/>
    </row>
    <row r="85" ht="12.75">
      <c r="A85" s="103"/>
    </row>
    <row r="86" ht="12.75">
      <c r="A86" s="10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&amp;CPage &amp;P of &amp;N&amp;R&amp;F&amp;A</oddFooter>
  </headerFooter>
  <ignoredErrors>
    <ignoredError sqref="AD21:AE21 AD27 AD10 AD8:AD9 AD6:AD7 AD5:AE5 AE10 AE6:AE7 AE8:AE9 AD17:AD20 AD16:AE16 AE17:AE20 AE27:AE29 AD29 AD28 AD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view="pageBreakPreview" zoomScale="90" zoomScaleSheetLayoutView="90" zoomScalePageLayoutView="0" workbookViewId="0" topLeftCell="A1">
      <selection activeCell="Z13" sqref="Z13"/>
    </sheetView>
  </sheetViews>
  <sheetFormatPr defaultColWidth="11.421875" defaultRowHeight="12.75" outlineLevelCol="1"/>
  <cols>
    <col min="1" max="1" width="39.00390625" style="124" customWidth="1"/>
    <col min="2" max="7" width="6.7109375" style="341" hidden="1" customWidth="1" outlineLevel="1"/>
    <col min="8" max="9" width="6.7109375" style="124" hidden="1" customWidth="1" outlineLevel="1"/>
    <col min="10" max="12" width="6.7109375" style="372" hidden="1" customWidth="1" outlineLevel="1"/>
    <col min="13" max="13" width="7.57421875" style="372" customWidth="1" collapsed="1"/>
    <col min="14" max="24" width="6.7109375" style="124" customWidth="1"/>
    <col min="25" max="25" width="8.8515625" style="373" customWidth="1"/>
    <col min="26" max="26" width="9.00390625" style="124" customWidth="1"/>
    <col min="27" max="28" width="6.7109375" style="124" customWidth="1"/>
    <col min="29" max="29" width="8.421875" style="124" customWidth="1"/>
    <col min="30" max="36" width="6.7109375" style="124" customWidth="1"/>
    <col min="37" max="16384" width="11.421875" style="124" customWidth="1"/>
  </cols>
  <sheetData>
    <row r="1" spans="1:25" s="284" customFormat="1" ht="15">
      <c r="A1" s="284" t="s">
        <v>234</v>
      </c>
      <c r="B1" s="338"/>
      <c r="C1" s="338"/>
      <c r="D1" s="338"/>
      <c r="E1" s="338"/>
      <c r="F1" s="338"/>
      <c r="G1" s="338"/>
      <c r="J1" s="339"/>
      <c r="K1" s="339"/>
      <c r="L1" s="339"/>
      <c r="M1" s="339"/>
      <c r="Y1" s="340"/>
    </row>
    <row r="3" spans="1:31" ht="12.75">
      <c r="A3" s="84" t="s">
        <v>235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6" t="s">
        <v>254</v>
      </c>
      <c r="Y3" s="88"/>
      <c r="Z3" s="86">
        <v>2005</v>
      </c>
      <c r="AA3" s="86">
        <v>2006</v>
      </c>
      <c r="AB3" s="86">
        <v>2007</v>
      </c>
      <c r="AC3" s="86">
        <v>2008</v>
      </c>
      <c r="AD3" s="86">
        <v>2009</v>
      </c>
      <c r="AE3" s="86">
        <v>2010</v>
      </c>
    </row>
    <row r="4" spans="1:31" ht="12.75">
      <c r="A4" s="89" t="s">
        <v>181</v>
      </c>
      <c r="B4" s="106" t="s">
        <v>161</v>
      </c>
      <c r="C4" s="106" t="s">
        <v>161</v>
      </c>
      <c r="D4" s="106" t="s">
        <v>161</v>
      </c>
      <c r="E4" s="106" t="s">
        <v>161</v>
      </c>
      <c r="F4" s="106" t="s">
        <v>161</v>
      </c>
      <c r="G4" s="106" t="s">
        <v>161</v>
      </c>
      <c r="H4" s="106" t="s">
        <v>161</v>
      </c>
      <c r="I4" s="106">
        <v>103.84734030000001</v>
      </c>
      <c r="J4" s="108">
        <v>476.21686908000004</v>
      </c>
      <c r="K4" s="108">
        <v>1000.06179584</v>
      </c>
      <c r="L4" s="108">
        <v>1511.7306035699999</v>
      </c>
      <c r="M4" s="108">
        <v>1772.73371159</v>
      </c>
      <c r="N4" s="106">
        <f>N6+N8+N10</f>
        <v>442.3991523605242</v>
      </c>
      <c r="O4" s="106">
        <f>O6+O8+O10</f>
        <v>806.9566901305241</v>
      </c>
      <c r="P4" s="106">
        <v>1304.8771698955238</v>
      </c>
      <c r="Q4" s="106">
        <v>1677.025060475526</v>
      </c>
      <c r="R4" s="106">
        <v>315.6606798500001</v>
      </c>
      <c r="S4" s="106">
        <v>674</v>
      </c>
      <c r="T4" s="106">
        <v>1175.8899682</v>
      </c>
      <c r="U4" s="106">
        <v>1640</v>
      </c>
      <c r="V4" s="106">
        <f>V6+V8+V10</f>
        <v>421.96337866000005</v>
      </c>
      <c r="W4" s="106">
        <v>911.0171470099999</v>
      </c>
      <c r="X4" s="106">
        <f>SUM(X6:X10)</f>
        <v>1289.43380571</v>
      </c>
      <c r="Y4" s="108"/>
      <c r="Z4" s="106" t="s">
        <v>161</v>
      </c>
      <c r="AA4" s="106" t="s">
        <v>161</v>
      </c>
      <c r="AB4" s="106">
        <v>103.84734030000001</v>
      </c>
      <c r="AC4" s="106">
        <v>1772.73371159</v>
      </c>
      <c r="AD4" s="106">
        <f>Q4</f>
        <v>1677.025060475526</v>
      </c>
      <c r="AE4" s="106">
        <f>U4</f>
        <v>1640</v>
      </c>
    </row>
    <row r="5" spans="1:31" s="346" customFormat="1" ht="12.75">
      <c r="A5" s="92" t="s">
        <v>154</v>
      </c>
      <c r="B5" s="342"/>
      <c r="C5" s="342"/>
      <c r="D5" s="342"/>
      <c r="E5" s="342"/>
      <c r="F5" s="342"/>
      <c r="G5" s="342"/>
      <c r="H5" s="343"/>
      <c r="I5" s="343"/>
      <c r="J5" s="351"/>
      <c r="K5" s="351"/>
      <c r="L5" s="352"/>
      <c r="M5" s="352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108"/>
      <c r="Z5" s="343"/>
      <c r="AA5" s="374"/>
      <c r="AB5" s="374"/>
      <c r="AC5" s="374">
        <v>16.070574041365216</v>
      </c>
      <c r="AD5" s="374">
        <f>AD4/AC4-1</f>
        <v>-0.053989299401674296</v>
      </c>
      <c r="AE5" s="374">
        <f>AE4/AD4-1</f>
        <v>-0.02207782182159368</v>
      </c>
    </row>
    <row r="6" spans="1:31" ht="12.75">
      <c r="A6" s="347" t="s">
        <v>176</v>
      </c>
      <c r="B6" s="106" t="s">
        <v>161</v>
      </c>
      <c r="C6" s="106" t="s">
        <v>161</v>
      </c>
      <c r="D6" s="106" t="s">
        <v>161</v>
      </c>
      <c r="E6" s="106" t="s">
        <v>161</v>
      </c>
      <c r="F6" s="106" t="s">
        <v>161</v>
      </c>
      <c r="G6" s="106" t="s">
        <v>161</v>
      </c>
      <c r="H6" s="106" t="s">
        <v>161</v>
      </c>
      <c r="I6" s="106">
        <v>14.676879999999999</v>
      </c>
      <c r="J6" s="108">
        <v>121.33000999999999</v>
      </c>
      <c r="K6" s="108">
        <v>293.42871499999995</v>
      </c>
      <c r="L6" s="108">
        <v>464.2714629999999</v>
      </c>
      <c r="M6" s="108">
        <v>541.2443210000001</v>
      </c>
      <c r="N6" s="106">
        <v>71.87723599999988</v>
      </c>
      <c r="O6" s="106">
        <v>128.651282</v>
      </c>
      <c r="P6" s="106">
        <v>188.961177</v>
      </c>
      <c r="Q6" s="106">
        <v>272.88338799999997</v>
      </c>
      <c r="R6" s="106">
        <v>31.02146</v>
      </c>
      <c r="S6" s="106">
        <v>94</v>
      </c>
      <c r="T6" s="106">
        <v>166.704974</v>
      </c>
      <c r="U6" s="106">
        <v>262.577162</v>
      </c>
      <c r="V6" s="106">
        <v>52</v>
      </c>
      <c r="W6" s="106">
        <v>81.108141</v>
      </c>
      <c r="X6" s="106">
        <v>90.61651</v>
      </c>
      <c r="Y6" s="108"/>
      <c r="Z6" s="106" t="s">
        <v>161</v>
      </c>
      <c r="AA6" s="106" t="s">
        <v>161</v>
      </c>
      <c r="AB6" s="106">
        <v>14.676879999999999</v>
      </c>
      <c r="AC6" s="106">
        <v>541.2443210000001</v>
      </c>
      <c r="AD6" s="106">
        <f>Q6</f>
        <v>272.88338799999997</v>
      </c>
      <c r="AE6" s="106">
        <f>U6</f>
        <v>262.577162</v>
      </c>
    </row>
    <row r="7" spans="1:31" s="346" customFormat="1" ht="12.75">
      <c r="A7" s="92" t="s">
        <v>154</v>
      </c>
      <c r="B7" s="342"/>
      <c r="C7" s="342"/>
      <c r="D7" s="342"/>
      <c r="E7" s="342"/>
      <c r="F7" s="342"/>
      <c r="G7" s="342"/>
      <c r="H7" s="343"/>
      <c r="I7" s="343"/>
      <c r="J7" s="351"/>
      <c r="K7" s="351"/>
      <c r="L7" s="352"/>
      <c r="M7" s="352"/>
      <c r="N7" s="343"/>
      <c r="O7" s="343"/>
      <c r="P7" s="343"/>
      <c r="Q7" s="343"/>
      <c r="R7" s="343"/>
      <c r="S7" s="343"/>
      <c r="T7" s="343"/>
      <c r="U7" s="343"/>
      <c r="V7" s="343"/>
      <c r="W7" s="106"/>
      <c r="X7" s="106"/>
      <c r="Y7" s="108"/>
      <c r="Z7" s="343"/>
      <c r="AA7" s="374"/>
      <c r="AB7" s="374"/>
      <c r="AC7" s="374">
        <v>35.877341846495995</v>
      </c>
      <c r="AD7" s="374">
        <f>AD6/AC6-1</f>
        <v>-0.4958221686357428</v>
      </c>
      <c r="AE7" s="374">
        <f>AE6/AD6-1</f>
        <v>-0.037767876144956025</v>
      </c>
    </row>
    <row r="8" spans="1:31" ht="12.75">
      <c r="A8" s="347" t="s">
        <v>177</v>
      </c>
      <c r="B8" s="106" t="s">
        <v>161</v>
      </c>
      <c r="C8" s="106" t="s">
        <v>161</v>
      </c>
      <c r="D8" s="106" t="s">
        <v>161</v>
      </c>
      <c r="E8" s="106" t="s">
        <v>161</v>
      </c>
      <c r="F8" s="106" t="s">
        <v>161</v>
      </c>
      <c r="G8" s="106" t="s">
        <v>161</v>
      </c>
      <c r="H8" s="106" t="s">
        <v>161</v>
      </c>
      <c r="I8" s="106">
        <v>82.90281200000001</v>
      </c>
      <c r="J8" s="108">
        <v>327.59816200000006</v>
      </c>
      <c r="K8" s="108">
        <v>628.491366</v>
      </c>
      <c r="L8" s="108">
        <v>934.4</v>
      </c>
      <c r="M8" s="108">
        <v>1086.230952</v>
      </c>
      <c r="N8" s="106">
        <v>334.65115399999803</v>
      </c>
      <c r="O8" s="106">
        <v>592.9968109999977</v>
      </c>
      <c r="P8" s="106">
        <v>972.5894279999977</v>
      </c>
      <c r="Q8" s="106">
        <v>1216.2385370000002</v>
      </c>
      <c r="R8" s="106">
        <v>236.59779100000011</v>
      </c>
      <c r="S8" s="106">
        <v>475</v>
      </c>
      <c r="T8" s="106">
        <v>842.2177270000001</v>
      </c>
      <c r="U8" s="106">
        <v>1157.8940239999997</v>
      </c>
      <c r="V8" s="106">
        <v>318.30883400000005</v>
      </c>
      <c r="W8" s="106">
        <v>707.0800139999999</v>
      </c>
      <c r="X8" s="106">
        <v>1005.7689519999998</v>
      </c>
      <c r="Y8" s="108"/>
      <c r="Z8" s="106" t="s">
        <v>161</v>
      </c>
      <c r="AA8" s="106" t="s">
        <v>161</v>
      </c>
      <c r="AB8" s="106">
        <v>82.90281200000001</v>
      </c>
      <c r="AC8" s="106">
        <v>1086.230952</v>
      </c>
      <c r="AD8" s="106">
        <f>Q8</f>
        <v>1216.2385370000002</v>
      </c>
      <c r="AE8" s="106">
        <f>U8</f>
        <v>1157.8940239999997</v>
      </c>
    </row>
    <row r="9" spans="1:31" s="346" customFormat="1" ht="12.75">
      <c r="A9" s="92" t="s">
        <v>154</v>
      </c>
      <c r="B9" s="342"/>
      <c r="C9" s="342"/>
      <c r="D9" s="342"/>
      <c r="E9" s="342"/>
      <c r="F9" s="342"/>
      <c r="G9" s="342"/>
      <c r="H9" s="343"/>
      <c r="I9" s="343"/>
      <c r="J9" s="351"/>
      <c r="K9" s="351"/>
      <c r="L9" s="352"/>
      <c r="M9" s="352"/>
      <c r="N9" s="343"/>
      <c r="O9" s="343"/>
      <c r="P9" s="343"/>
      <c r="W9" s="106"/>
      <c r="X9" s="106"/>
      <c r="Y9" s="108"/>
      <c r="Z9" s="343"/>
      <c r="AA9" s="374"/>
      <c r="AB9" s="374"/>
      <c r="AC9" s="374">
        <v>12.102462097425594</v>
      </c>
      <c r="AD9" s="374">
        <f>AD8/AC8-1</f>
        <v>0.11968687207874762</v>
      </c>
      <c r="AE9" s="374">
        <f>AE8/AD8-1</f>
        <v>-0.04797127473358498</v>
      </c>
    </row>
    <row r="10" spans="1:31" ht="12.75">
      <c r="A10" s="347" t="s">
        <v>250</v>
      </c>
      <c r="B10" s="106" t="s">
        <v>161</v>
      </c>
      <c r="C10" s="106" t="s">
        <v>161</v>
      </c>
      <c r="D10" s="106" t="s">
        <v>161</v>
      </c>
      <c r="E10" s="106" t="s">
        <v>161</v>
      </c>
      <c r="F10" s="106" t="s">
        <v>161</v>
      </c>
      <c r="G10" s="106" t="s">
        <v>161</v>
      </c>
      <c r="H10" s="106" t="s">
        <v>161</v>
      </c>
      <c r="I10" s="106">
        <v>6.267648299999999</v>
      </c>
      <c r="J10" s="108">
        <v>27.28869708</v>
      </c>
      <c r="K10" s="108">
        <v>78.14171484</v>
      </c>
      <c r="L10" s="108">
        <v>113.05914057</v>
      </c>
      <c r="M10" s="108">
        <v>145.25843859</v>
      </c>
      <c r="N10" s="106">
        <v>35.87076236052634</v>
      </c>
      <c r="O10" s="106">
        <v>85.30859713052638</v>
      </c>
      <c r="P10" s="106">
        <v>143.3265648955263</v>
      </c>
      <c r="Q10" s="377">
        <v>187.90313547552586</v>
      </c>
      <c r="R10" s="377">
        <v>48.041428849999996</v>
      </c>
      <c r="S10" s="377">
        <v>105</v>
      </c>
      <c r="T10" s="377">
        <v>166.9672672</v>
      </c>
      <c r="U10" s="377">
        <v>219.30218594000002</v>
      </c>
      <c r="V10" s="377">
        <v>51.65454466</v>
      </c>
      <c r="W10" s="106">
        <v>122.82899201000001</v>
      </c>
      <c r="X10" s="106">
        <v>193.04834371000004</v>
      </c>
      <c r="Y10" s="108"/>
      <c r="Z10" s="106" t="s">
        <v>161</v>
      </c>
      <c r="AA10" s="106" t="s">
        <v>161</v>
      </c>
      <c r="AB10" s="106">
        <v>6.267648299999999</v>
      </c>
      <c r="AC10" s="106">
        <v>145.25843859</v>
      </c>
      <c r="AD10" s="106">
        <f>Q10</f>
        <v>187.90313547552586</v>
      </c>
      <c r="AE10" s="106">
        <f>U10</f>
        <v>219.30218594000002</v>
      </c>
    </row>
    <row r="11" spans="1:31" s="346" customFormat="1" ht="12.75">
      <c r="A11" s="92" t="s">
        <v>154</v>
      </c>
      <c r="B11" s="342"/>
      <c r="C11" s="342"/>
      <c r="D11" s="342"/>
      <c r="E11" s="342"/>
      <c r="F11" s="342"/>
      <c r="G11" s="342"/>
      <c r="H11" s="343"/>
      <c r="I11" s="343"/>
      <c r="J11" s="344"/>
      <c r="K11" s="344"/>
      <c r="L11" s="375"/>
      <c r="M11" s="375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3"/>
      <c r="AA11" s="374"/>
      <c r="AB11" s="374"/>
      <c r="AC11" s="374">
        <v>22.175907714860134</v>
      </c>
      <c r="AD11" s="374">
        <f>AD10/AC10-1</f>
        <v>0.2935781032721472</v>
      </c>
      <c r="AE11" s="374">
        <f>AE10/AD10-1</f>
        <v>0.16710232314651208</v>
      </c>
    </row>
    <row r="12" spans="1:31" ht="12.75">
      <c r="A12" s="99"/>
      <c r="B12" s="100"/>
      <c r="C12" s="100"/>
      <c r="D12" s="100"/>
      <c r="E12" s="100"/>
      <c r="F12" s="100"/>
      <c r="G12" s="100"/>
      <c r="H12" s="100"/>
      <c r="I12" s="100"/>
      <c r="J12" s="349"/>
      <c r="K12" s="349"/>
      <c r="L12" s="349"/>
      <c r="M12" s="34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32"/>
      <c r="Z12" s="100"/>
      <c r="AA12" s="100"/>
      <c r="AB12" s="100"/>
      <c r="AC12" s="100"/>
      <c r="AD12" s="100"/>
      <c r="AE12" s="100"/>
    </row>
    <row r="13" spans="1:31" ht="12.75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32"/>
      <c r="L13" s="132"/>
      <c r="M13" s="132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32"/>
      <c r="Z13" s="104"/>
      <c r="AA13" s="104"/>
      <c r="AB13" s="104"/>
      <c r="AC13" s="104"/>
      <c r="AD13" s="104"/>
      <c r="AE13" s="104"/>
    </row>
    <row r="14" spans="1:31" ht="12.75">
      <c r="A14" s="105" t="s">
        <v>225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5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6" t="s">
        <v>247</v>
      </c>
      <c r="V14" s="86" t="s">
        <v>251</v>
      </c>
      <c r="W14" s="86" t="s">
        <v>252</v>
      </c>
      <c r="X14" s="86" t="s">
        <v>254</v>
      </c>
      <c r="Y14" s="88"/>
      <c r="Z14" s="86">
        <v>2005</v>
      </c>
      <c r="AA14" s="86">
        <v>2006</v>
      </c>
      <c r="AB14" s="86">
        <v>2007</v>
      </c>
      <c r="AC14" s="86">
        <v>2008</v>
      </c>
      <c r="AD14" s="86">
        <v>2009</v>
      </c>
      <c r="AE14" s="86">
        <v>2010</v>
      </c>
    </row>
    <row r="15" spans="1:31" s="137" customFormat="1" ht="12.75">
      <c r="A15" s="317" t="s">
        <v>22</v>
      </c>
      <c r="B15" s="106" t="s">
        <v>161</v>
      </c>
      <c r="C15" s="106" t="s">
        <v>161</v>
      </c>
      <c r="D15" s="106" t="s">
        <v>161</v>
      </c>
      <c r="E15" s="106" t="s">
        <v>161</v>
      </c>
      <c r="F15" s="106" t="s">
        <v>161</v>
      </c>
      <c r="G15" s="106" t="s">
        <v>161</v>
      </c>
      <c r="H15" s="106" t="s">
        <v>161</v>
      </c>
      <c r="I15" s="106">
        <v>569.9336935942797</v>
      </c>
      <c r="J15" s="108">
        <v>615.7806351346901</v>
      </c>
      <c r="K15" s="108">
        <v>806.0145799962369</v>
      </c>
      <c r="L15" s="108">
        <v>894.8369063947968</v>
      </c>
      <c r="M15" s="108">
        <v>801.4921069501105</v>
      </c>
      <c r="N15" s="106">
        <v>381.60630421564156</v>
      </c>
      <c r="O15" s="106">
        <v>383.21909496591593</v>
      </c>
      <c r="P15" s="106">
        <v>403.8907388144992</v>
      </c>
      <c r="Q15" s="106">
        <v>420.2734594345436</v>
      </c>
      <c r="R15" s="106">
        <v>493.6174328484473</v>
      </c>
      <c r="S15" s="106">
        <v>565.2474121501804</v>
      </c>
      <c r="T15" s="106">
        <v>583.402914049165</v>
      </c>
      <c r="U15" s="106">
        <v>598.498710818724</v>
      </c>
      <c r="V15" s="106">
        <v>695.2680581236431</v>
      </c>
      <c r="W15" s="106">
        <v>709.2100455079869</v>
      </c>
      <c r="X15" s="106">
        <v>721.7161444472158</v>
      </c>
      <c r="Y15" s="108"/>
      <c r="Z15" s="106" t="s">
        <v>161</v>
      </c>
      <c r="AA15" s="106" t="s">
        <v>161</v>
      </c>
      <c r="AB15" s="108">
        <v>569.9336935942797</v>
      </c>
      <c r="AC15" s="108">
        <v>801.4921069501105</v>
      </c>
      <c r="AD15" s="108">
        <f>Q15</f>
        <v>420.2734594345436</v>
      </c>
      <c r="AE15" s="108">
        <f>U15</f>
        <v>598.498710818724</v>
      </c>
    </row>
    <row r="16" spans="1:31" s="341" customFormat="1" ht="12.75">
      <c r="A16" s="376" t="s">
        <v>154</v>
      </c>
      <c r="B16" s="377"/>
      <c r="C16" s="377"/>
      <c r="D16" s="377"/>
      <c r="E16" s="377"/>
      <c r="F16" s="377"/>
      <c r="G16" s="377"/>
      <c r="H16" s="377"/>
      <c r="I16" s="377"/>
      <c r="J16" s="378"/>
      <c r="K16" s="378"/>
      <c r="L16" s="378"/>
      <c r="M16" s="310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51"/>
      <c r="Z16" s="377"/>
      <c r="AA16" s="377"/>
      <c r="AB16" s="377"/>
      <c r="AC16" s="374">
        <v>0.4062900929676758</v>
      </c>
      <c r="AD16" s="374">
        <f>AD15/AC15-1</f>
        <v>-0.4756361843240162</v>
      </c>
      <c r="AE16" s="374">
        <f>AE15/AD15-1</f>
        <v>0.4240697274197931</v>
      </c>
    </row>
    <row r="17" spans="1:31" s="137" customFormat="1" ht="12.75">
      <c r="A17" s="347" t="s">
        <v>176</v>
      </c>
      <c r="B17" s="106" t="s">
        <v>161</v>
      </c>
      <c r="C17" s="106" t="s">
        <v>161</v>
      </c>
      <c r="D17" s="106" t="s">
        <v>161</v>
      </c>
      <c r="E17" s="106" t="s">
        <v>161</v>
      </c>
      <c r="F17" s="106" t="s">
        <v>161</v>
      </c>
      <c r="G17" s="106" t="s">
        <v>161</v>
      </c>
      <c r="H17" s="106" t="s">
        <v>161</v>
      </c>
      <c r="I17" s="108">
        <v>510.89767746110306</v>
      </c>
      <c r="J17" s="108">
        <v>534.0052288884605</v>
      </c>
      <c r="K17" s="108">
        <v>763.5295808971823</v>
      </c>
      <c r="L17" s="108">
        <v>815.6136305141903</v>
      </c>
      <c r="M17" s="108">
        <v>746.6731100075372</v>
      </c>
      <c r="N17" s="108">
        <v>373.63041334636506</v>
      </c>
      <c r="O17" s="108">
        <v>315.1843471185173</v>
      </c>
      <c r="P17" s="108">
        <v>333.91752229489117</v>
      </c>
      <c r="Q17" s="108">
        <v>357.021392959471</v>
      </c>
      <c r="R17" s="108">
        <v>380.40575372735066</v>
      </c>
      <c r="S17" s="108">
        <v>487.10587266510026</v>
      </c>
      <c r="T17" s="108">
        <v>491.6340603659073</v>
      </c>
      <c r="U17" s="108">
        <v>512.1600617129343</v>
      </c>
      <c r="V17" s="108">
        <v>575.1827385227069</v>
      </c>
      <c r="W17" s="106">
        <v>587.2622111696771</v>
      </c>
      <c r="X17" s="106">
        <v>588.4593839823324</v>
      </c>
      <c r="Y17" s="108"/>
      <c r="Z17" s="106" t="s">
        <v>161</v>
      </c>
      <c r="AA17" s="106" t="s">
        <v>161</v>
      </c>
      <c r="AB17" s="108">
        <v>510.89767746110306</v>
      </c>
      <c r="AC17" s="108">
        <v>746.6731100075372</v>
      </c>
      <c r="AD17" s="108">
        <f>Q17</f>
        <v>357.021392959471</v>
      </c>
      <c r="AE17" s="108">
        <f>U17</f>
        <v>512.1600617129343</v>
      </c>
    </row>
    <row r="18" spans="1:31" s="341" customFormat="1" ht="12.75">
      <c r="A18" s="92" t="s">
        <v>154</v>
      </c>
      <c r="B18" s="377"/>
      <c r="C18" s="377"/>
      <c r="D18" s="377"/>
      <c r="E18" s="377"/>
      <c r="F18" s="377"/>
      <c r="G18" s="377"/>
      <c r="H18" s="377"/>
      <c r="I18" s="377"/>
      <c r="J18" s="310"/>
      <c r="K18" s="310"/>
      <c r="L18" s="310"/>
      <c r="M18" s="310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51"/>
      <c r="Z18" s="377"/>
      <c r="AA18" s="377"/>
      <c r="AB18" s="377"/>
      <c r="AC18" s="374">
        <v>0.46149247285310824</v>
      </c>
      <c r="AD18" s="374">
        <f>AD17/AC17-1</f>
        <v>-0.521850474894071</v>
      </c>
      <c r="AE18" s="374">
        <f>AE17/AD17-1</f>
        <v>0.434536058098554</v>
      </c>
    </row>
    <row r="19" spans="1:31" s="137" customFormat="1" ht="12.75">
      <c r="A19" s="347" t="s">
        <v>177</v>
      </c>
      <c r="B19" s="106" t="s">
        <v>161</v>
      </c>
      <c r="C19" s="106" t="s">
        <v>161</v>
      </c>
      <c r="D19" s="106" t="s">
        <v>161</v>
      </c>
      <c r="E19" s="106" t="s">
        <v>161</v>
      </c>
      <c r="F19" s="106" t="s">
        <v>161</v>
      </c>
      <c r="G19" s="106" t="s">
        <v>161</v>
      </c>
      <c r="H19" s="106" t="s">
        <v>161</v>
      </c>
      <c r="I19" s="108">
        <v>575.636566643121</v>
      </c>
      <c r="J19" s="108">
        <v>626.5434720301316</v>
      </c>
      <c r="K19" s="108">
        <v>793.4509536506656</v>
      </c>
      <c r="L19" s="108">
        <v>901.5041912779138</v>
      </c>
      <c r="M19" s="108">
        <v>796.7541740369568</v>
      </c>
      <c r="N19" s="108">
        <v>364.61946608192596</v>
      </c>
      <c r="O19" s="108">
        <v>376.5663438006295</v>
      </c>
      <c r="P19" s="108">
        <v>398.2959736878405</v>
      </c>
      <c r="Q19" s="108">
        <v>413.81444803285376</v>
      </c>
      <c r="R19" s="108">
        <v>487.1454595747782</v>
      </c>
      <c r="S19" s="108">
        <v>549.5685259223733</v>
      </c>
      <c r="T19" s="108">
        <v>575.3762711463321</v>
      </c>
      <c r="U19" s="108">
        <v>598.169727370899</v>
      </c>
      <c r="V19" s="108">
        <v>694.7155437535304</v>
      </c>
      <c r="W19" s="377">
        <v>701.6660558685932</v>
      </c>
      <c r="X19" s="377">
        <v>714.5692744852207</v>
      </c>
      <c r="Y19" s="108"/>
      <c r="Z19" s="106" t="s">
        <v>161</v>
      </c>
      <c r="AA19" s="106" t="s">
        <v>161</v>
      </c>
      <c r="AB19" s="108">
        <v>575.636566643121</v>
      </c>
      <c r="AC19" s="108">
        <v>796.7541740369568</v>
      </c>
      <c r="AD19" s="108">
        <f>Q19</f>
        <v>413.81444803285376</v>
      </c>
      <c r="AE19" s="108">
        <f>U19</f>
        <v>598.169727370899</v>
      </c>
    </row>
    <row r="20" spans="1:31" s="341" customFormat="1" ht="12.75">
      <c r="A20" s="92" t="s">
        <v>154</v>
      </c>
      <c r="B20" s="377"/>
      <c r="C20" s="377"/>
      <c r="D20" s="377"/>
      <c r="E20" s="377"/>
      <c r="F20" s="377"/>
      <c r="G20" s="377"/>
      <c r="H20" s="377"/>
      <c r="I20" s="377"/>
      <c r="J20" s="310"/>
      <c r="K20" s="310"/>
      <c r="L20" s="310"/>
      <c r="M20" s="310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51"/>
      <c r="Z20" s="377"/>
      <c r="AA20" s="377"/>
      <c r="AB20" s="377"/>
      <c r="AC20" s="374">
        <v>0.38412710416105766</v>
      </c>
      <c r="AD20" s="374">
        <f>AD19/AC19-1</f>
        <v>-0.48062468761706256</v>
      </c>
      <c r="AE20" s="374">
        <f>AE19/AD19-1</f>
        <v>0.4455022781693905</v>
      </c>
    </row>
    <row r="21" spans="1:31" s="137" customFormat="1" ht="12.75">
      <c r="A21" s="347" t="s">
        <v>178</v>
      </c>
      <c r="B21" s="106" t="s">
        <v>161</v>
      </c>
      <c r="C21" s="106" t="s">
        <v>161</v>
      </c>
      <c r="D21" s="106" t="s">
        <v>161</v>
      </c>
      <c r="E21" s="106" t="s">
        <v>161</v>
      </c>
      <c r="F21" s="106" t="s">
        <v>161</v>
      </c>
      <c r="G21" s="106" t="s">
        <v>161</v>
      </c>
      <c r="H21" s="106" t="s">
        <v>161</v>
      </c>
      <c r="I21" s="108">
        <v>632.74518099646</v>
      </c>
      <c r="J21" s="108">
        <v>850.160651667041</v>
      </c>
      <c r="K21" s="108">
        <v>1066.5981801635317</v>
      </c>
      <c r="L21" s="108">
        <v>1165.0600395968536</v>
      </c>
      <c r="M21" s="108">
        <v>1044.4195178152115</v>
      </c>
      <c r="N21" s="108">
        <v>505.015498973974</v>
      </c>
      <c r="O21" s="108">
        <v>506.4568889748773</v>
      </c>
      <c r="P21" s="108">
        <v>523.4913898450134</v>
      </c>
      <c r="Q21" s="108">
        <v>539.2858254279569</v>
      </c>
      <c r="R21" s="108">
        <v>584.9915927172092</v>
      </c>
      <c r="S21" s="108">
        <v>692.2590301863313</v>
      </c>
      <c r="T21" s="108">
        <v>715.5156669153857</v>
      </c>
      <c r="U21" s="108">
        <v>695.7079014894628</v>
      </c>
      <c r="V21" s="108">
        <v>819.0141389766094</v>
      </c>
      <c r="W21" s="108">
        <v>829.4801484912125</v>
      </c>
      <c r="X21" s="108">
        <v>821.9836047779236</v>
      </c>
      <c r="Y21" s="353"/>
      <c r="Z21" s="106" t="s">
        <v>161</v>
      </c>
      <c r="AA21" s="106" t="s">
        <v>161</v>
      </c>
      <c r="AB21" s="108">
        <v>632.74518099646</v>
      </c>
      <c r="AC21" s="108">
        <v>1044.4195178152115</v>
      </c>
      <c r="AD21" s="108">
        <f>Q21</f>
        <v>539.2858254279569</v>
      </c>
      <c r="AE21" s="108">
        <f>U21</f>
        <v>695.7079014894628</v>
      </c>
    </row>
    <row r="22" spans="1:31" s="341" customFormat="1" ht="12.75">
      <c r="A22" s="376" t="s">
        <v>154</v>
      </c>
      <c r="B22" s="377"/>
      <c r="C22" s="377"/>
      <c r="D22" s="377"/>
      <c r="E22" s="377"/>
      <c r="F22" s="377"/>
      <c r="G22" s="377"/>
      <c r="H22" s="377"/>
      <c r="I22" s="377"/>
      <c r="J22" s="378"/>
      <c r="K22" s="378"/>
      <c r="L22" s="378"/>
      <c r="M22" s="378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44"/>
      <c r="Z22" s="377"/>
      <c r="AA22" s="377"/>
      <c r="AB22" s="377"/>
      <c r="AC22" s="374">
        <v>0.6506163131427383</v>
      </c>
      <c r="AD22" s="374">
        <f>AD21/AC21-1</f>
        <v>-0.48365018440475716</v>
      </c>
      <c r="AE22" s="374">
        <f>AE21/AD21-1</f>
        <v>0.2900541209985914</v>
      </c>
    </row>
    <row r="23" spans="1:31" ht="12.75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3"/>
      <c r="L23" s="349"/>
      <c r="M23" s="349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4"/>
      <c r="Z23" s="100"/>
      <c r="AA23" s="100"/>
      <c r="AB23" s="100"/>
      <c r="AC23" s="100"/>
      <c r="AD23" s="100"/>
      <c r="AE23" s="100"/>
    </row>
    <row r="24" spans="1:31" ht="12.75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4"/>
      <c r="L24" s="132"/>
      <c r="M24" s="132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4"/>
      <c r="Z24" s="104"/>
      <c r="AA24" s="104"/>
      <c r="AB24" s="104"/>
      <c r="AC24" s="104"/>
      <c r="AD24" s="104"/>
      <c r="AE24" s="104"/>
    </row>
    <row r="25" spans="1:31" ht="12.75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5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6" t="s">
        <v>247</v>
      </c>
      <c r="V25" s="86" t="s">
        <v>251</v>
      </c>
      <c r="W25" s="86" t="s">
        <v>252</v>
      </c>
      <c r="X25" s="86" t="s">
        <v>254</v>
      </c>
      <c r="Y25" s="88"/>
      <c r="Z25" s="86">
        <v>2005</v>
      </c>
      <c r="AA25" s="86">
        <v>2006</v>
      </c>
      <c r="AB25" s="86">
        <v>2007</v>
      </c>
      <c r="AC25" s="86">
        <v>2008</v>
      </c>
      <c r="AD25" s="86">
        <v>2009</v>
      </c>
      <c r="AE25" s="86">
        <v>2010</v>
      </c>
    </row>
    <row r="26" spans="1:31" ht="12.75">
      <c r="A26" s="89" t="s">
        <v>38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>
        <v>62.262</v>
      </c>
      <c r="J26" s="108">
        <v>348.46</v>
      </c>
      <c r="K26" s="108">
        <v>756.828</v>
      </c>
      <c r="L26" s="108">
        <v>1119.899</v>
      </c>
      <c r="M26" s="108">
        <v>1178.185</v>
      </c>
      <c r="N26" s="106">
        <v>102.466</v>
      </c>
      <c r="O26" s="106">
        <v>232.54</v>
      </c>
      <c r="P26" s="106">
        <v>414.263</v>
      </c>
      <c r="Q26" s="106">
        <v>572.476</v>
      </c>
      <c r="R26" s="106">
        <v>162.027</v>
      </c>
      <c r="S26" s="106">
        <v>370.566</v>
      </c>
      <c r="T26" s="106">
        <v>629.061</v>
      </c>
      <c r="U26" s="106">
        <v>864.786</v>
      </c>
      <c r="V26" s="106">
        <v>259.59</v>
      </c>
      <c r="W26" s="106">
        <v>595.783</v>
      </c>
      <c r="X26" s="106">
        <v>894.807</v>
      </c>
      <c r="Y26" s="108"/>
      <c r="Z26" s="106" t="s">
        <v>161</v>
      </c>
      <c r="AA26" s="106" t="s">
        <v>161</v>
      </c>
      <c r="AB26" s="106">
        <v>62.262</v>
      </c>
      <c r="AC26" s="106">
        <v>1178.185</v>
      </c>
      <c r="AD26" s="106">
        <f>Q26</f>
        <v>572.476</v>
      </c>
      <c r="AE26" s="106">
        <f>U26</f>
        <v>864.786</v>
      </c>
    </row>
    <row r="27" spans="1:31" ht="12.75">
      <c r="A27" s="92" t="s">
        <v>154</v>
      </c>
      <c r="B27" s="379"/>
      <c r="C27" s="379"/>
      <c r="D27" s="379"/>
      <c r="E27" s="379"/>
      <c r="F27" s="379"/>
      <c r="G27" s="379"/>
      <c r="H27" s="106"/>
      <c r="I27" s="377"/>
      <c r="J27" s="309"/>
      <c r="K27" s="309"/>
      <c r="L27" s="310"/>
      <c r="M27" s="310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51"/>
      <c r="Z27" s="377"/>
      <c r="AA27" s="374"/>
      <c r="AB27" s="377"/>
      <c r="AC27" s="374">
        <v>17.923018855802898</v>
      </c>
      <c r="AD27" s="374">
        <f>AD26/AC26-1</f>
        <v>-0.5141034727143869</v>
      </c>
      <c r="AE27" s="374">
        <f>U27</f>
        <v>0</v>
      </c>
    </row>
    <row r="28" spans="1:31" ht="12.75">
      <c r="A28" s="103" t="s">
        <v>155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>
        <v>4.177</v>
      </c>
      <c r="J28" s="108" t="s">
        <v>161</v>
      </c>
      <c r="K28" s="108" t="s">
        <v>161</v>
      </c>
      <c r="L28" s="108" t="s">
        <v>161</v>
      </c>
      <c r="M28" s="108">
        <v>81.279</v>
      </c>
      <c r="N28" s="108" t="s">
        <v>156</v>
      </c>
      <c r="O28" s="108" t="s">
        <v>156</v>
      </c>
      <c r="P28" s="108" t="s">
        <v>156</v>
      </c>
      <c r="Q28" s="106">
        <v>72.504</v>
      </c>
      <c r="R28" s="108" t="s">
        <v>156</v>
      </c>
      <c r="S28" s="108" t="s">
        <v>156</v>
      </c>
      <c r="T28" s="108" t="s">
        <v>156</v>
      </c>
      <c r="U28" s="108">
        <v>74.299</v>
      </c>
      <c r="V28" s="108" t="s">
        <v>156</v>
      </c>
      <c r="W28" s="108" t="s">
        <v>156</v>
      </c>
      <c r="X28" s="108" t="s">
        <v>156</v>
      </c>
      <c r="Y28" s="108"/>
      <c r="Z28" s="106" t="s">
        <v>161</v>
      </c>
      <c r="AA28" s="106" t="s">
        <v>161</v>
      </c>
      <c r="AB28" s="106">
        <v>4.177</v>
      </c>
      <c r="AC28" s="106">
        <v>81.279</v>
      </c>
      <c r="AD28" s="106">
        <f>Q28</f>
        <v>72.504</v>
      </c>
      <c r="AE28" s="106">
        <f>U28</f>
        <v>74.299</v>
      </c>
    </row>
    <row r="29" spans="1:31" ht="12.75">
      <c r="A29" s="92" t="s">
        <v>154</v>
      </c>
      <c r="B29" s="379"/>
      <c r="C29" s="379"/>
      <c r="D29" s="379"/>
      <c r="E29" s="379"/>
      <c r="F29" s="379"/>
      <c r="G29" s="379"/>
      <c r="H29" s="379"/>
      <c r="I29" s="379"/>
      <c r="J29" s="309"/>
      <c r="K29" s="309"/>
      <c r="L29" s="310"/>
      <c r="M29" s="310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44"/>
      <c r="Z29" s="379"/>
      <c r="AA29" s="106"/>
      <c r="AB29" s="379"/>
      <c r="AC29" s="374">
        <v>18.45870241800335</v>
      </c>
      <c r="AD29" s="374">
        <f>AD28/AC28-1</f>
        <v>-0.10796146606134416</v>
      </c>
      <c r="AE29" s="374">
        <f>AE28/AD28-1</f>
        <v>0.024757254772150628</v>
      </c>
    </row>
    <row r="30" spans="1:31" ht="12.75">
      <c r="A30" s="103" t="s">
        <v>3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>
        <v>1.555</v>
      </c>
      <c r="J30" s="108">
        <v>36.977</v>
      </c>
      <c r="K30" s="108">
        <v>224.062</v>
      </c>
      <c r="L30" s="108">
        <v>351.134</v>
      </c>
      <c r="M30" s="108">
        <v>177.421</v>
      </c>
      <c r="N30" s="106">
        <v>-25.625</v>
      </c>
      <c r="O30" s="106">
        <v>-55.17</v>
      </c>
      <c r="P30" s="106">
        <v>-60.909</v>
      </c>
      <c r="Q30" s="106">
        <v>-141.753</v>
      </c>
      <c r="R30" s="106">
        <v>-23.948</v>
      </c>
      <c r="S30" s="106">
        <v>-11.234</v>
      </c>
      <c r="T30" s="106">
        <v>30.841</v>
      </c>
      <c r="U30" s="106">
        <v>-27.811</v>
      </c>
      <c r="V30" s="106">
        <v>6.553</v>
      </c>
      <c r="W30" s="106">
        <v>10.573</v>
      </c>
      <c r="X30" s="106">
        <v>10.03</v>
      </c>
      <c r="Y30" s="118"/>
      <c r="Z30" s="106" t="s">
        <v>161</v>
      </c>
      <c r="AA30" s="106" t="s">
        <v>161</v>
      </c>
      <c r="AB30" s="106">
        <v>1.555</v>
      </c>
      <c r="AC30" s="108">
        <v>177.421</v>
      </c>
      <c r="AD30" s="106">
        <f>Q30</f>
        <v>-141.753</v>
      </c>
      <c r="AE30" s="106">
        <f>U30</f>
        <v>-27.811</v>
      </c>
    </row>
    <row r="31" spans="1:31" ht="12.75">
      <c r="A31" s="92" t="s">
        <v>154</v>
      </c>
      <c r="B31" s="379"/>
      <c r="C31" s="379"/>
      <c r="D31" s="379"/>
      <c r="E31" s="379"/>
      <c r="F31" s="379"/>
      <c r="G31" s="379"/>
      <c r="H31" s="379"/>
      <c r="I31" s="379"/>
      <c r="J31" s="380"/>
      <c r="K31" s="380"/>
      <c r="L31" s="378"/>
      <c r="M31" s="378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44"/>
      <c r="Z31" s="379"/>
      <c r="AA31" s="374"/>
      <c r="AB31" s="374"/>
      <c r="AC31" s="374">
        <v>113.097106109325</v>
      </c>
      <c r="AD31" s="374">
        <f>AD30/AC30-1</f>
        <v>-1.7989640459697553</v>
      </c>
      <c r="AE31" s="374">
        <f>AE30/AD30-1</f>
        <v>-0.8038066213766198</v>
      </c>
    </row>
    <row r="32" spans="1:31" ht="12.75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3"/>
      <c r="L32" s="349"/>
      <c r="M32" s="349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4"/>
      <c r="Z32" s="100"/>
      <c r="AA32" s="100"/>
      <c r="AB32" s="100"/>
      <c r="AC32" s="100"/>
      <c r="AD32" s="100"/>
      <c r="AE32" s="100"/>
    </row>
    <row r="33" spans="1:31" ht="12.75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4"/>
      <c r="L33" s="132"/>
      <c r="M33" s="132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4"/>
      <c r="Z33" s="104"/>
      <c r="AA33" s="104"/>
      <c r="AB33" s="104"/>
      <c r="AC33" s="104"/>
      <c r="AD33" s="104"/>
      <c r="AE33" s="104"/>
    </row>
    <row r="34" spans="1:31" ht="12.75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5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6" t="s">
        <v>247</v>
      </c>
      <c r="V34" s="86" t="s">
        <v>251</v>
      </c>
      <c r="W34" s="86" t="s">
        <v>252</v>
      </c>
      <c r="X34" s="86" t="s">
        <v>254</v>
      </c>
      <c r="Y34" s="88"/>
      <c r="Z34" s="86">
        <v>2005</v>
      </c>
      <c r="AA34" s="86">
        <v>2006</v>
      </c>
      <c r="AB34" s="86">
        <v>2007</v>
      </c>
      <c r="AC34" s="86">
        <v>2008</v>
      </c>
      <c r="AD34" s="86">
        <v>2009</v>
      </c>
      <c r="AE34" s="86">
        <v>2010</v>
      </c>
    </row>
    <row r="35" spans="1:32" s="81" customFormat="1" ht="22.5">
      <c r="A35" s="125" t="s">
        <v>67</v>
      </c>
      <c r="B35" s="106" t="s">
        <v>161</v>
      </c>
      <c r="C35" s="106" t="s">
        <v>161</v>
      </c>
      <c r="D35" s="106" t="s">
        <v>161</v>
      </c>
      <c r="E35" s="106" t="s">
        <v>161</v>
      </c>
      <c r="F35" s="106" t="s">
        <v>161</v>
      </c>
      <c r="G35" s="106" t="s">
        <v>161</v>
      </c>
      <c r="H35" s="106" t="s">
        <v>161</v>
      </c>
      <c r="I35" s="106">
        <v>37.858</v>
      </c>
      <c r="J35" s="108" t="s">
        <v>161</v>
      </c>
      <c r="K35" s="108" t="s">
        <v>161</v>
      </c>
      <c r="L35" s="108" t="s">
        <v>161</v>
      </c>
      <c r="M35" s="108">
        <v>388.06</v>
      </c>
      <c r="N35" s="108" t="s">
        <v>156</v>
      </c>
      <c r="O35" s="108" t="s">
        <v>156</v>
      </c>
      <c r="P35" s="108" t="s">
        <v>156</v>
      </c>
      <c r="Q35" s="106">
        <v>180.828</v>
      </c>
      <c r="R35" s="108" t="s">
        <v>156</v>
      </c>
      <c r="S35" s="108" t="s">
        <v>156</v>
      </c>
      <c r="T35" s="108" t="s">
        <v>156</v>
      </c>
      <c r="U35" s="108">
        <v>254.428</v>
      </c>
      <c r="V35" s="108" t="s">
        <v>156</v>
      </c>
      <c r="W35" s="108" t="s">
        <v>156</v>
      </c>
      <c r="X35" s="108" t="s">
        <v>156</v>
      </c>
      <c r="Y35" s="108"/>
      <c r="Z35" s="106" t="s">
        <v>161</v>
      </c>
      <c r="AA35" s="106" t="s">
        <v>161</v>
      </c>
      <c r="AB35" s="106">
        <v>37.858</v>
      </c>
      <c r="AC35" s="106">
        <v>388.06</v>
      </c>
      <c r="AD35" s="106">
        <f>Q35</f>
        <v>180.828</v>
      </c>
      <c r="AE35" s="106">
        <f>U35</f>
        <v>254.428</v>
      </c>
      <c r="AF35" s="124"/>
    </row>
    <row r="36" spans="1:31" s="323" customFormat="1" ht="12.75">
      <c r="A36" s="92" t="s">
        <v>154</v>
      </c>
      <c r="B36" s="381"/>
      <c r="C36" s="381"/>
      <c r="D36" s="381"/>
      <c r="E36" s="381"/>
      <c r="F36" s="381"/>
      <c r="G36" s="381"/>
      <c r="H36" s="382"/>
      <c r="I36" s="382"/>
      <c r="J36" s="380"/>
      <c r="K36" s="380"/>
      <c r="L36" s="378"/>
      <c r="M36" s="378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44"/>
      <c r="Z36" s="382"/>
      <c r="AA36" s="374"/>
      <c r="AB36" s="374"/>
      <c r="AC36" s="374">
        <v>9.250409424692272</v>
      </c>
      <c r="AD36" s="374">
        <f>AD35/AC35-1</f>
        <v>-0.5340205122919136</v>
      </c>
      <c r="AE36" s="374">
        <f>AE35/AD35-1</f>
        <v>0.40701661247151977</v>
      </c>
    </row>
    <row r="37" spans="1:31" ht="12.75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22"/>
      <c r="L37" s="122"/>
      <c r="M37" s="122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3"/>
      <c r="Z37" s="121"/>
      <c r="AA37" s="121"/>
      <c r="AB37" s="121"/>
      <c r="AC37" s="121"/>
      <c r="AD37" s="121"/>
      <c r="AE37" s="121"/>
    </row>
    <row r="38" spans="1:31" ht="12.75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32"/>
      <c r="L38" s="132"/>
      <c r="M38" s="132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32"/>
      <c r="Z38" s="115"/>
      <c r="AA38" s="115"/>
      <c r="AB38" s="115"/>
      <c r="AC38" s="115"/>
      <c r="AD38" s="115"/>
      <c r="AE38" s="115"/>
    </row>
    <row r="39" spans="1:31" ht="12.75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5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6" t="s">
        <v>247</v>
      </c>
      <c r="V39" s="86" t="s">
        <v>251</v>
      </c>
      <c r="W39" s="86" t="s">
        <v>252</v>
      </c>
      <c r="X39" s="86" t="s">
        <v>254</v>
      </c>
      <c r="Y39" s="88"/>
      <c r="Z39" s="86">
        <v>2005</v>
      </c>
      <c r="AA39" s="86">
        <v>2006</v>
      </c>
      <c r="AB39" s="86">
        <v>2007</v>
      </c>
      <c r="AC39" s="86">
        <v>2008</v>
      </c>
      <c r="AD39" s="86">
        <v>2009</v>
      </c>
      <c r="AE39" s="86">
        <v>2010</v>
      </c>
    </row>
    <row r="40" spans="1:31" ht="12.75">
      <c r="A40" s="103" t="s">
        <v>19</v>
      </c>
      <c r="B40" s="106" t="s">
        <v>161</v>
      </c>
      <c r="C40" s="106" t="s">
        <v>161</v>
      </c>
      <c r="D40" s="106" t="s">
        <v>161</v>
      </c>
      <c r="E40" s="106" t="s">
        <v>161</v>
      </c>
      <c r="F40" s="106" t="s">
        <v>161</v>
      </c>
      <c r="G40" s="106" t="s">
        <v>161</v>
      </c>
      <c r="H40" s="106" t="s">
        <v>161</v>
      </c>
      <c r="I40" s="104">
        <v>0.0249751052006039</v>
      </c>
      <c r="J40" s="104">
        <v>0.09623713003737365</v>
      </c>
      <c r="K40" s="104">
        <v>0.22656921493244242</v>
      </c>
      <c r="L40" s="104">
        <v>0.2142860194199642</v>
      </c>
      <c r="M40" s="104">
        <v>0.09659928021909216</v>
      </c>
      <c r="N40" s="104">
        <f>N30/(N26+49.69)</f>
        <v>-0.1684126817213912</v>
      </c>
      <c r="O40" s="104">
        <f>O30/(O26+113.228)</f>
        <v>-0.15955785382105922</v>
      </c>
      <c r="P40" s="104">
        <f>P30/(P26+224.436)</f>
        <v>-0.09536416997678093</v>
      </c>
      <c r="Q40" s="104">
        <f>Q30/(Q26+309.984)</f>
        <v>-0.16063390975228337</v>
      </c>
      <c r="R40" s="104">
        <f>R30/(R26+62.129)</f>
        <v>-0.10683631042666715</v>
      </c>
      <c r="S40" s="104">
        <f>S30/(S26+183.643)</f>
        <v>-0.020270331228832445</v>
      </c>
      <c r="T40" s="104">
        <f>T30/(T26+371.964)</f>
        <v>0.030809420344147246</v>
      </c>
      <c r="U40" s="104">
        <f>U30/(U26+111.276)</f>
        <v>-0.02849306703877418</v>
      </c>
      <c r="V40" s="104">
        <f>V30/(V26+111.276)</f>
        <v>0.017669454735672722</v>
      </c>
      <c r="W40" s="104">
        <f>W30/(W26+310.493)</f>
        <v>0.011666423915010438</v>
      </c>
      <c r="X40" s="104">
        <f>X30/(X26+514.211)</f>
        <v>0.007118432837621662</v>
      </c>
      <c r="Y40" s="353"/>
      <c r="Z40" s="383" t="s">
        <v>161</v>
      </c>
      <c r="AA40" s="383" t="s">
        <v>161</v>
      </c>
      <c r="AB40" s="104">
        <v>0.0249751052006039</v>
      </c>
      <c r="AC40" s="104">
        <v>0.09659928021909216</v>
      </c>
      <c r="AD40" s="104">
        <f>Q40</f>
        <v>-0.16063390975228337</v>
      </c>
      <c r="AE40" s="104">
        <f>U40</f>
        <v>-0.02849306703877418</v>
      </c>
    </row>
    <row r="41" spans="1:31" s="81" customFormat="1" ht="12.75">
      <c r="A41" s="89" t="s">
        <v>150</v>
      </c>
      <c r="B41" s="106" t="s">
        <v>161</v>
      </c>
      <c r="C41" s="106" t="s">
        <v>161</v>
      </c>
      <c r="D41" s="106" t="s">
        <v>161</v>
      </c>
      <c r="E41" s="106" t="s">
        <v>161</v>
      </c>
      <c r="F41" s="106" t="s">
        <v>161</v>
      </c>
      <c r="G41" s="106" t="s">
        <v>161</v>
      </c>
      <c r="H41" s="106" t="s">
        <v>161</v>
      </c>
      <c r="I41" s="384">
        <v>0.04107454170848962</v>
      </c>
      <c r="J41" s="108" t="s">
        <v>161</v>
      </c>
      <c r="K41" s="108" t="s">
        <v>161</v>
      </c>
      <c r="L41" s="108" t="s">
        <v>161</v>
      </c>
      <c r="M41" s="384">
        <v>0.45719991753852496</v>
      </c>
      <c r="N41" s="384" t="s">
        <v>161</v>
      </c>
      <c r="O41" s="384" t="s">
        <v>161</v>
      </c>
      <c r="P41" s="384" t="s">
        <v>161</v>
      </c>
      <c r="Q41" s="384">
        <f>Q30/Q35</f>
        <v>-0.7839106775499368</v>
      </c>
      <c r="R41" s="384" t="s">
        <v>161</v>
      </c>
      <c r="S41" s="384" t="s">
        <v>161</v>
      </c>
      <c r="T41" s="384" t="s">
        <v>161</v>
      </c>
      <c r="U41" s="384">
        <f>U30/U35</f>
        <v>-0.10930793780558744</v>
      </c>
      <c r="V41" s="384" t="s">
        <v>161</v>
      </c>
      <c r="W41" s="384" t="s">
        <v>161</v>
      </c>
      <c r="X41" s="384" t="s">
        <v>161</v>
      </c>
      <c r="Y41" s="108"/>
      <c r="Z41" s="106" t="s">
        <v>161</v>
      </c>
      <c r="AA41" s="106" t="s">
        <v>161</v>
      </c>
      <c r="AB41" s="384">
        <v>0.04107454170848962</v>
      </c>
      <c r="AC41" s="384">
        <v>0.45719991753852496</v>
      </c>
      <c r="AD41" s="384">
        <f>Q41</f>
        <v>-0.7839106775499368</v>
      </c>
      <c r="AE41" s="384">
        <f>U41</f>
        <v>-0.10930793780558744</v>
      </c>
    </row>
    <row r="42" spans="1:31" s="81" customFormat="1" ht="12.75">
      <c r="A42" s="89" t="s">
        <v>151</v>
      </c>
      <c r="B42" s="106" t="s">
        <v>161</v>
      </c>
      <c r="C42" s="106" t="s">
        <v>161</v>
      </c>
      <c r="D42" s="106" t="s">
        <v>161</v>
      </c>
      <c r="E42" s="106" t="s">
        <v>161</v>
      </c>
      <c r="F42" s="106" t="s">
        <v>161</v>
      </c>
      <c r="G42" s="106" t="s">
        <v>161</v>
      </c>
      <c r="H42" s="106" t="s">
        <v>161</v>
      </c>
      <c r="I42" s="385">
        <v>9.06344266219775</v>
      </c>
      <c r="J42" s="108" t="s">
        <v>161</v>
      </c>
      <c r="K42" s="108" t="s">
        <v>161</v>
      </c>
      <c r="L42" s="108" t="s">
        <v>161</v>
      </c>
      <c r="M42" s="385">
        <v>4.774418976611425</v>
      </c>
      <c r="N42" s="385" t="s">
        <v>161</v>
      </c>
      <c r="O42" s="385" t="s">
        <v>161</v>
      </c>
      <c r="P42" s="385" t="s">
        <v>161</v>
      </c>
      <c r="Q42" s="385">
        <f>Q35/Q28</f>
        <v>2.494041708043694</v>
      </c>
      <c r="R42" s="384" t="s">
        <v>161</v>
      </c>
      <c r="S42" s="384" t="s">
        <v>161</v>
      </c>
      <c r="T42" s="384" t="s">
        <v>161</v>
      </c>
      <c r="U42" s="384">
        <f>U35/U28</f>
        <v>3.4243798705231563</v>
      </c>
      <c r="V42" s="384" t="s">
        <v>161</v>
      </c>
      <c r="W42" s="384" t="s">
        <v>161</v>
      </c>
      <c r="X42" s="384" t="s">
        <v>161</v>
      </c>
      <c r="Y42" s="108"/>
      <c r="Z42" s="385" t="s">
        <v>161</v>
      </c>
      <c r="AA42" s="385" t="s">
        <v>161</v>
      </c>
      <c r="AB42" s="385">
        <v>9.06344266219775</v>
      </c>
      <c r="AC42" s="385">
        <v>4.774418976611425</v>
      </c>
      <c r="AD42" s="385">
        <f>Q42</f>
        <v>2.494041708043694</v>
      </c>
      <c r="AE42" s="385">
        <f>U42</f>
        <v>3.4243798705231563</v>
      </c>
    </row>
    <row r="43" spans="1:31" ht="12.75">
      <c r="A43" s="103"/>
      <c r="B43" s="106"/>
      <c r="C43" s="106"/>
      <c r="D43" s="106"/>
      <c r="E43" s="106"/>
      <c r="F43" s="106"/>
      <c r="G43" s="106"/>
      <c r="H43" s="106"/>
      <c r="I43" s="106"/>
      <c r="J43" s="108"/>
      <c r="K43" s="108"/>
      <c r="L43" s="108"/>
      <c r="M43" s="108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358"/>
      <c r="Z43" s="106"/>
      <c r="AA43" s="106"/>
      <c r="AB43" s="106"/>
      <c r="AC43" s="106"/>
      <c r="AD43" s="106"/>
      <c r="AE43" s="106"/>
    </row>
    <row r="44" spans="1:31" ht="12.75">
      <c r="A44" s="103" t="s">
        <v>179</v>
      </c>
      <c r="B44" s="106" t="s">
        <v>161</v>
      </c>
      <c r="C44" s="106" t="s">
        <v>161</v>
      </c>
      <c r="D44" s="106" t="s">
        <v>161</v>
      </c>
      <c r="E44" s="106" t="s">
        <v>161</v>
      </c>
      <c r="F44" s="106" t="s">
        <v>161</v>
      </c>
      <c r="G44" s="106" t="s">
        <v>161</v>
      </c>
      <c r="H44" s="106" t="s">
        <v>161</v>
      </c>
      <c r="I44" s="106">
        <v>14.97390299556858</v>
      </c>
      <c r="J44" s="106">
        <v>77.64739638777516</v>
      </c>
      <c r="K44" s="106">
        <v>224.04815475607643</v>
      </c>
      <c r="L44" s="106">
        <v>232.27286605879772</v>
      </c>
      <c r="M44" s="106">
        <v>100.08327750526479</v>
      </c>
      <c r="N44" s="106">
        <f aca="true" t="shared" si="0" ref="N44:S44">N30/N4*1000</f>
        <v>-57.922805374449325</v>
      </c>
      <c r="O44" s="106">
        <f t="shared" si="0"/>
        <v>-68.36798142298855</v>
      </c>
      <c r="P44" s="106">
        <f t="shared" si="0"/>
        <v>-46.67795667302289</v>
      </c>
      <c r="Q44" s="106">
        <f t="shared" si="0"/>
        <v>-84.5264649532461</v>
      </c>
      <c r="R44" s="106">
        <f t="shared" si="0"/>
        <v>-75.86627517681306</v>
      </c>
      <c r="S44" s="106">
        <f t="shared" si="0"/>
        <v>-16.66765578635015</v>
      </c>
      <c r="T44" s="106">
        <f>T30/T4*1000</f>
        <v>26.22779412533813</v>
      </c>
      <c r="U44" s="106">
        <f>U30/U4*1000</f>
        <v>-16.957926829268292</v>
      </c>
      <c r="V44" s="106">
        <f>V30/V4*1000</f>
        <v>15.529783700210928</v>
      </c>
      <c r="W44" s="106">
        <f>W30/W4*1000</f>
        <v>11.605709107343447</v>
      </c>
      <c r="X44" s="106">
        <f>X30/X4*1000</f>
        <v>7.778607909598887</v>
      </c>
      <c r="Y44" s="108"/>
      <c r="Z44" s="106" t="s">
        <v>161</v>
      </c>
      <c r="AA44" s="106" t="s">
        <v>161</v>
      </c>
      <c r="AB44" s="106">
        <v>14.97390299556858</v>
      </c>
      <c r="AC44" s="106">
        <v>100.08327750526479</v>
      </c>
      <c r="AD44" s="106">
        <f>Q44</f>
        <v>-84.5264649532461</v>
      </c>
      <c r="AE44" s="106">
        <f>U44</f>
        <v>-16.957926829268292</v>
      </c>
    </row>
    <row r="45" spans="1:31" ht="12.75">
      <c r="A45" s="120"/>
      <c r="B45" s="359"/>
      <c r="C45" s="359"/>
      <c r="D45" s="359"/>
      <c r="E45" s="359"/>
      <c r="F45" s="359"/>
      <c r="G45" s="359"/>
      <c r="H45" s="360"/>
      <c r="I45" s="360"/>
      <c r="J45" s="361"/>
      <c r="K45" s="361"/>
      <c r="L45" s="361"/>
      <c r="M45" s="361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Z45" s="360"/>
      <c r="AA45" s="360"/>
      <c r="AB45" s="360"/>
      <c r="AC45" s="360"/>
      <c r="AD45" s="360"/>
      <c r="AE45" s="360"/>
    </row>
    <row r="46" spans="1:29" ht="12.75">
      <c r="A46" s="103"/>
      <c r="B46" s="136"/>
      <c r="C46" s="136"/>
      <c r="D46" s="136"/>
      <c r="E46" s="136"/>
      <c r="F46" s="136"/>
      <c r="G46" s="136"/>
      <c r="H46" s="103"/>
      <c r="I46" s="103"/>
      <c r="J46" s="362"/>
      <c r="K46" s="362"/>
      <c r="L46" s="362"/>
      <c r="M46" s="362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362"/>
      <c r="Z46" s="103"/>
      <c r="AA46" s="103"/>
      <c r="AB46" s="103"/>
      <c r="AC46" s="103"/>
    </row>
    <row r="47" spans="1:29" ht="12.75">
      <c r="A47" s="138" t="s">
        <v>226</v>
      </c>
      <c r="B47" s="136"/>
      <c r="C47" s="136"/>
      <c r="D47" s="364"/>
      <c r="E47" s="364"/>
      <c r="F47" s="136"/>
      <c r="G47" s="136"/>
      <c r="H47" s="365"/>
      <c r="I47" s="365"/>
      <c r="J47" s="362"/>
      <c r="K47" s="362"/>
      <c r="L47" s="362"/>
      <c r="M47" s="362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Z47" s="365"/>
      <c r="AA47" s="365"/>
      <c r="AB47" s="365"/>
      <c r="AC47" s="365"/>
    </row>
    <row r="48" spans="1:29" ht="12.75">
      <c r="A48" s="138" t="s">
        <v>236</v>
      </c>
      <c r="B48" s="136"/>
      <c r="C48" s="136"/>
      <c r="D48" s="366"/>
      <c r="E48" s="366"/>
      <c r="F48" s="136"/>
      <c r="G48" s="136"/>
      <c r="H48" s="365"/>
      <c r="I48" s="365"/>
      <c r="J48" s="362"/>
      <c r="K48" s="362"/>
      <c r="L48" s="362"/>
      <c r="M48" s="362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2"/>
      <c r="Z48" s="365"/>
      <c r="AA48" s="365"/>
      <c r="AB48" s="365"/>
      <c r="AC48" s="365"/>
    </row>
    <row r="49" spans="1:29" ht="12.75">
      <c r="A49" s="138" t="s">
        <v>237</v>
      </c>
      <c r="B49" s="136"/>
      <c r="C49" s="136"/>
      <c r="D49" s="364"/>
      <c r="E49" s="364"/>
      <c r="F49" s="136"/>
      <c r="G49" s="136"/>
      <c r="H49" s="365"/>
      <c r="I49" s="365"/>
      <c r="J49" s="362"/>
      <c r="K49" s="362"/>
      <c r="L49" s="362"/>
      <c r="M49" s="362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2"/>
      <c r="Z49" s="365"/>
      <c r="AA49" s="365"/>
      <c r="AB49" s="365"/>
      <c r="AC49" s="365"/>
    </row>
    <row r="50" spans="1:29" ht="12.75">
      <c r="A50" s="103"/>
      <c r="B50" s="136"/>
      <c r="C50" s="136"/>
      <c r="D50" s="365"/>
      <c r="E50" s="365"/>
      <c r="F50" s="365"/>
      <c r="G50" s="365"/>
      <c r="H50" s="365"/>
      <c r="I50" s="365"/>
      <c r="J50" s="367"/>
      <c r="K50" s="367"/>
      <c r="L50" s="367"/>
      <c r="M50" s="367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2"/>
      <c r="Z50" s="365"/>
      <c r="AA50" s="365"/>
      <c r="AB50" s="365"/>
      <c r="AC50" s="365"/>
    </row>
    <row r="51" spans="1:29" ht="12.75">
      <c r="A51" s="103"/>
      <c r="B51" s="136"/>
      <c r="C51" s="364"/>
      <c r="D51" s="365"/>
      <c r="E51" s="365"/>
      <c r="F51" s="365"/>
      <c r="G51" s="365"/>
      <c r="H51" s="365"/>
      <c r="I51" s="365"/>
      <c r="J51" s="367"/>
      <c r="K51" s="367"/>
      <c r="L51" s="367"/>
      <c r="M51" s="367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2"/>
      <c r="Z51" s="365"/>
      <c r="AA51" s="365"/>
      <c r="AB51" s="365"/>
      <c r="AC51" s="365"/>
    </row>
    <row r="52" spans="1:29" ht="12.75">
      <c r="A52" s="103"/>
      <c r="B52" s="136"/>
      <c r="C52" s="364"/>
      <c r="D52" s="364"/>
      <c r="E52" s="364"/>
      <c r="F52" s="136"/>
      <c r="G52" s="136"/>
      <c r="H52" s="365"/>
      <c r="I52" s="365"/>
      <c r="J52" s="362"/>
      <c r="K52" s="362"/>
      <c r="L52" s="362"/>
      <c r="M52" s="362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7"/>
      <c r="Z52" s="365"/>
      <c r="AA52" s="365"/>
      <c r="AB52" s="365"/>
      <c r="AC52" s="365"/>
    </row>
    <row r="53" spans="1:29" ht="12.75">
      <c r="A53" s="103"/>
      <c r="B53" s="136"/>
      <c r="C53" s="366"/>
      <c r="D53" s="365"/>
      <c r="E53" s="364"/>
      <c r="F53" s="136"/>
      <c r="G53" s="136"/>
      <c r="I53" s="365"/>
      <c r="J53" s="362"/>
      <c r="K53" s="362"/>
      <c r="L53" s="362"/>
      <c r="M53" s="362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7"/>
      <c r="Z53" s="365"/>
      <c r="AA53" s="365"/>
      <c r="AB53" s="365"/>
      <c r="AC53" s="365"/>
    </row>
    <row r="54" spans="1:29" ht="12.75">
      <c r="A54" s="103"/>
      <c r="B54" s="136"/>
      <c r="C54" s="364"/>
      <c r="D54" s="364"/>
      <c r="E54" s="364"/>
      <c r="F54" s="136"/>
      <c r="G54" s="136"/>
      <c r="H54" s="365"/>
      <c r="I54" s="365"/>
      <c r="J54" s="362"/>
      <c r="K54" s="362"/>
      <c r="L54" s="362"/>
      <c r="M54" s="362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2"/>
      <c r="Z54" s="365"/>
      <c r="AA54" s="365"/>
      <c r="AB54" s="365"/>
      <c r="AC54" s="365"/>
    </row>
    <row r="55" spans="1:29" ht="12.75">
      <c r="A55" s="103"/>
      <c r="B55" s="136"/>
      <c r="C55" s="366"/>
      <c r="D55" s="364"/>
      <c r="E55" s="364"/>
      <c r="F55" s="136"/>
      <c r="G55" s="136"/>
      <c r="H55" s="365"/>
      <c r="I55" s="365"/>
      <c r="J55" s="362"/>
      <c r="K55" s="362"/>
      <c r="L55" s="362"/>
      <c r="M55" s="362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2"/>
      <c r="Z55" s="365"/>
      <c r="AA55" s="365"/>
      <c r="AB55" s="365"/>
      <c r="AC55" s="365"/>
    </row>
    <row r="56" spans="1:31" s="284" customFormat="1" ht="12.75">
      <c r="A56" s="103"/>
      <c r="B56" s="136"/>
      <c r="C56" s="366"/>
      <c r="D56" s="364"/>
      <c r="E56" s="364"/>
      <c r="F56" s="136"/>
      <c r="G56" s="136"/>
      <c r="H56" s="365"/>
      <c r="I56" s="365"/>
      <c r="J56" s="362"/>
      <c r="K56" s="362"/>
      <c r="L56" s="362"/>
      <c r="M56" s="362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2"/>
      <c r="Z56" s="365"/>
      <c r="AA56" s="365"/>
      <c r="AB56" s="365"/>
      <c r="AC56" s="365"/>
      <c r="AD56" s="124"/>
      <c r="AE56" s="124"/>
    </row>
    <row r="57" spans="1:29" ht="12.75">
      <c r="A57" s="103"/>
      <c r="B57" s="136"/>
      <c r="C57" s="366"/>
      <c r="D57" s="364"/>
      <c r="E57" s="364"/>
      <c r="F57" s="136"/>
      <c r="G57" s="136"/>
      <c r="H57" s="365"/>
      <c r="I57" s="365"/>
      <c r="J57" s="362"/>
      <c r="K57" s="362"/>
      <c r="L57" s="362"/>
      <c r="M57" s="362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2"/>
      <c r="Z57" s="365"/>
      <c r="AA57" s="365"/>
      <c r="AB57" s="365"/>
      <c r="AC57" s="365"/>
    </row>
    <row r="58" spans="1:31" s="284" customFormat="1" ht="12.75">
      <c r="A58" s="103"/>
      <c r="B58" s="136"/>
      <c r="C58" s="366"/>
      <c r="D58" s="364"/>
      <c r="E58" s="364"/>
      <c r="F58" s="136"/>
      <c r="G58" s="136"/>
      <c r="H58" s="365"/>
      <c r="I58" s="365"/>
      <c r="J58" s="362"/>
      <c r="K58" s="362"/>
      <c r="L58" s="362"/>
      <c r="M58" s="362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2"/>
      <c r="Z58" s="365"/>
      <c r="AA58" s="365"/>
      <c r="AB58" s="365"/>
      <c r="AC58" s="365"/>
      <c r="AD58" s="124"/>
      <c r="AE58" s="124"/>
    </row>
    <row r="59" spans="1:29" ht="12.75">
      <c r="A59" s="103"/>
      <c r="B59" s="136"/>
      <c r="C59" s="364"/>
      <c r="D59" s="364"/>
      <c r="E59" s="364"/>
      <c r="F59" s="364"/>
      <c r="G59" s="364"/>
      <c r="H59" s="365"/>
      <c r="I59" s="365"/>
      <c r="J59" s="368"/>
      <c r="K59" s="368"/>
      <c r="L59" s="368"/>
      <c r="M59" s="368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2"/>
      <c r="Z59" s="365"/>
      <c r="AA59" s="365"/>
      <c r="AB59" s="365"/>
      <c r="AC59" s="365"/>
    </row>
    <row r="60" spans="1:29" ht="12.75">
      <c r="A60" s="103"/>
      <c r="B60" s="136"/>
      <c r="C60" s="364"/>
      <c r="D60" s="364"/>
      <c r="E60" s="364"/>
      <c r="F60" s="364"/>
      <c r="G60" s="364"/>
      <c r="H60" s="365"/>
      <c r="I60" s="365"/>
      <c r="J60" s="368"/>
      <c r="K60" s="368"/>
      <c r="L60" s="368"/>
      <c r="M60" s="368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2"/>
      <c r="Z60" s="365"/>
      <c r="AA60" s="365"/>
      <c r="AB60" s="365"/>
      <c r="AC60" s="365"/>
    </row>
    <row r="61" spans="1:29" ht="12.75">
      <c r="A61" s="103"/>
      <c r="B61" s="136"/>
      <c r="C61" s="364"/>
      <c r="D61" s="364"/>
      <c r="E61" s="364"/>
      <c r="F61" s="364"/>
      <c r="G61" s="364"/>
      <c r="H61" s="365"/>
      <c r="I61" s="365"/>
      <c r="J61" s="368"/>
      <c r="K61" s="368"/>
      <c r="L61" s="368"/>
      <c r="M61" s="368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8"/>
      <c r="Z61" s="365"/>
      <c r="AA61" s="365"/>
      <c r="AB61" s="365"/>
      <c r="AC61" s="365"/>
    </row>
    <row r="62" spans="1:29" ht="12.75">
      <c r="A62" s="103"/>
      <c r="B62" s="136"/>
      <c r="C62" s="364"/>
      <c r="D62" s="364"/>
      <c r="E62" s="364"/>
      <c r="F62" s="364"/>
      <c r="G62" s="364"/>
      <c r="H62" s="365"/>
      <c r="I62" s="365"/>
      <c r="J62" s="368"/>
      <c r="K62" s="368"/>
      <c r="L62" s="368"/>
      <c r="M62" s="368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8"/>
      <c r="Z62" s="365"/>
      <c r="AA62" s="365"/>
      <c r="AB62" s="365"/>
      <c r="AC62" s="365"/>
    </row>
    <row r="63" spans="1:29" ht="12.75">
      <c r="A63" s="103"/>
      <c r="B63" s="136"/>
      <c r="C63" s="364"/>
      <c r="D63" s="364"/>
      <c r="E63" s="364"/>
      <c r="F63" s="364"/>
      <c r="G63" s="364"/>
      <c r="H63" s="365"/>
      <c r="I63" s="365"/>
      <c r="J63" s="368"/>
      <c r="K63" s="368"/>
      <c r="L63" s="368"/>
      <c r="M63" s="368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8"/>
      <c r="Z63" s="365"/>
      <c r="AA63" s="365"/>
      <c r="AB63" s="365"/>
      <c r="AC63" s="365"/>
    </row>
    <row r="64" spans="1:29" ht="12.75">
      <c r="A64" s="103"/>
      <c r="B64" s="136"/>
      <c r="C64" s="364"/>
      <c r="D64" s="364"/>
      <c r="E64" s="364"/>
      <c r="F64" s="364"/>
      <c r="G64" s="364"/>
      <c r="H64" s="365"/>
      <c r="I64" s="365"/>
      <c r="J64" s="368"/>
      <c r="K64" s="368"/>
      <c r="L64" s="368"/>
      <c r="M64" s="368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8"/>
      <c r="Z64" s="365"/>
      <c r="AA64" s="365"/>
      <c r="AB64" s="365"/>
      <c r="AC64" s="365"/>
    </row>
    <row r="65" spans="1:29" ht="12.75">
      <c r="A65" s="103"/>
      <c r="B65" s="136"/>
      <c r="C65" s="369"/>
      <c r="D65" s="369"/>
      <c r="E65" s="369"/>
      <c r="F65" s="369"/>
      <c r="G65" s="369"/>
      <c r="H65" s="370"/>
      <c r="I65" s="370"/>
      <c r="J65" s="371"/>
      <c r="K65" s="371"/>
      <c r="L65" s="371"/>
      <c r="M65" s="371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68"/>
      <c r="Z65" s="370"/>
      <c r="AA65" s="370"/>
      <c r="AB65" s="370"/>
      <c r="AC65" s="370"/>
    </row>
    <row r="66" spans="1:29" ht="12.75">
      <c r="A66" s="103"/>
      <c r="B66" s="369"/>
      <c r="C66" s="369"/>
      <c r="D66" s="369"/>
      <c r="E66" s="369"/>
      <c r="F66" s="369"/>
      <c r="G66" s="369"/>
      <c r="H66" s="370"/>
      <c r="I66" s="370"/>
      <c r="J66" s="371"/>
      <c r="K66" s="371"/>
      <c r="L66" s="371"/>
      <c r="M66" s="371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68"/>
      <c r="Z66" s="370"/>
      <c r="AA66" s="370"/>
      <c r="AB66" s="370"/>
      <c r="AC66" s="370"/>
    </row>
    <row r="67" spans="1:29" ht="12.75">
      <c r="A67" s="103"/>
      <c r="B67" s="369"/>
      <c r="C67" s="369"/>
      <c r="D67" s="369"/>
      <c r="E67" s="369"/>
      <c r="F67" s="369"/>
      <c r="G67" s="369"/>
      <c r="H67" s="370"/>
      <c r="I67" s="370"/>
      <c r="J67" s="371"/>
      <c r="K67" s="371"/>
      <c r="L67" s="371"/>
      <c r="M67" s="371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1"/>
      <c r="Z67" s="370"/>
      <c r="AA67" s="370"/>
      <c r="AB67" s="370"/>
      <c r="AC67" s="370"/>
    </row>
    <row r="68" spans="1:29" ht="12.75">
      <c r="A68" s="103"/>
      <c r="B68" s="369"/>
      <c r="C68" s="369"/>
      <c r="D68" s="369"/>
      <c r="E68" s="369"/>
      <c r="F68" s="369"/>
      <c r="G68" s="369"/>
      <c r="H68" s="370"/>
      <c r="I68" s="370"/>
      <c r="J68" s="371"/>
      <c r="K68" s="371"/>
      <c r="L68" s="371"/>
      <c r="M68" s="371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1"/>
      <c r="Z68" s="370"/>
      <c r="AA68" s="370"/>
      <c r="AB68" s="370"/>
      <c r="AC68" s="370"/>
    </row>
    <row r="69" spans="1:29" ht="12.75">
      <c r="A69" s="103"/>
      <c r="B69" s="369"/>
      <c r="C69" s="369"/>
      <c r="D69" s="369"/>
      <c r="E69" s="369"/>
      <c r="F69" s="369"/>
      <c r="G69" s="369"/>
      <c r="H69" s="370"/>
      <c r="I69" s="370"/>
      <c r="J69" s="371"/>
      <c r="K69" s="371"/>
      <c r="L69" s="371"/>
      <c r="M69" s="371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1"/>
      <c r="Z69" s="370"/>
      <c r="AA69" s="370"/>
      <c r="AB69" s="370"/>
      <c r="AC69" s="370"/>
    </row>
    <row r="70" spans="1:29" ht="12.75">
      <c r="A70" s="103"/>
      <c r="B70" s="369"/>
      <c r="C70" s="369"/>
      <c r="D70" s="369"/>
      <c r="E70" s="369"/>
      <c r="F70" s="369"/>
      <c r="G70" s="369"/>
      <c r="H70" s="370"/>
      <c r="I70" s="370"/>
      <c r="J70" s="371"/>
      <c r="K70" s="371"/>
      <c r="L70" s="371"/>
      <c r="M70" s="371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1"/>
      <c r="Z70" s="370"/>
      <c r="AA70" s="370"/>
      <c r="AB70" s="370"/>
      <c r="AC70" s="370"/>
    </row>
    <row r="71" spans="1:29" ht="12.75">
      <c r="A71" s="103"/>
      <c r="B71" s="369"/>
      <c r="C71" s="369"/>
      <c r="D71" s="369"/>
      <c r="E71" s="369"/>
      <c r="F71" s="369"/>
      <c r="G71" s="369"/>
      <c r="H71" s="370"/>
      <c r="I71" s="370"/>
      <c r="J71" s="371"/>
      <c r="K71" s="371"/>
      <c r="L71" s="371"/>
      <c r="M71" s="371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1"/>
      <c r="Z71" s="370"/>
      <c r="AA71" s="370"/>
      <c r="AB71" s="370"/>
      <c r="AC71" s="370"/>
    </row>
    <row r="72" spans="1:31" s="284" customFormat="1" ht="12.75">
      <c r="A72" s="103"/>
      <c r="B72" s="369"/>
      <c r="C72" s="369"/>
      <c r="D72" s="369"/>
      <c r="E72" s="369"/>
      <c r="F72" s="369"/>
      <c r="G72" s="369"/>
      <c r="H72" s="370"/>
      <c r="I72" s="370"/>
      <c r="J72" s="371"/>
      <c r="K72" s="371"/>
      <c r="L72" s="371"/>
      <c r="M72" s="371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1"/>
      <c r="Z72" s="370"/>
      <c r="AA72" s="370"/>
      <c r="AB72" s="370"/>
      <c r="AC72" s="370"/>
      <c r="AD72" s="124"/>
      <c r="AE72" s="124"/>
    </row>
    <row r="73" spans="1:29" ht="12.75">
      <c r="A73" s="103"/>
      <c r="B73" s="369"/>
      <c r="C73" s="369"/>
      <c r="D73" s="369"/>
      <c r="E73" s="369"/>
      <c r="F73" s="369"/>
      <c r="G73" s="369"/>
      <c r="H73" s="370"/>
      <c r="I73" s="370"/>
      <c r="J73" s="371"/>
      <c r="K73" s="371"/>
      <c r="L73" s="371"/>
      <c r="M73" s="371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1"/>
      <c r="Z73" s="370"/>
      <c r="AA73" s="370"/>
      <c r="AB73" s="370"/>
      <c r="AC73" s="370"/>
    </row>
    <row r="74" spans="1:29" ht="12.75">
      <c r="A74" s="103"/>
      <c r="B74" s="369"/>
      <c r="C74" s="369"/>
      <c r="D74" s="369"/>
      <c r="E74" s="369"/>
      <c r="F74" s="369"/>
      <c r="G74" s="369"/>
      <c r="H74" s="370"/>
      <c r="I74" s="370"/>
      <c r="J74" s="371"/>
      <c r="K74" s="371"/>
      <c r="L74" s="371"/>
      <c r="M74" s="371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1"/>
      <c r="Z74" s="370"/>
      <c r="AA74" s="370"/>
      <c r="AB74" s="370"/>
      <c r="AC74" s="370"/>
    </row>
    <row r="75" spans="1:29" ht="12.75">
      <c r="A75" s="103"/>
      <c r="B75" s="369"/>
      <c r="C75" s="369"/>
      <c r="D75" s="369"/>
      <c r="E75" s="369"/>
      <c r="F75" s="369"/>
      <c r="G75" s="369"/>
      <c r="H75" s="370"/>
      <c r="I75" s="370"/>
      <c r="J75" s="371"/>
      <c r="K75" s="371"/>
      <c r="L75" s="371"/>
      <c r="M75" s="371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1"/>
      <c r="Z75" s="370"/>
      <c r="AA75" s="370"/>
      <c r="AB75" s="370"/>
      <c r="AC75" s="370"/>
    </row>
    <row r="76" spans="1:31" s="284" customFormat="1" ht="12.75">
      <c r="A76" s="103"/>
      <c r="B76" s="369"/>
      <c r="C76" s="369"/>
      <c r="D76" s="369"/>
      <c r="E76" s="369"/>
      <c r="F76" s="369"/>
      <c r="G76" s="369"/>
      <c r="H76" s="370"/>
      <c r="I76" s="370"/>
      <c r="J76" s="371"/>
      <c r="K76" s="371"/>
      <c r="L76" s="371"/>
      <c r="M76" s="371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1"/>
      <c r="Z76" s="370"/>
      <c r="AA76" s="370"/>
      <c r="AB76" s="370"/>
      <c r="AC76" s="370"/>
      <c r="AD76" s="124"/>
      <c r="AE76" s="124"/>
    </row>
    <row r="77" spans="1:29" ht="12.75">
      <c r="A77" s="103"/>
      <c r="B77" s="369"/>
      <c r="C77" s="369"/>
      <c r="D77" s="369"/>
      <c r="E77" s="369"/>
      <c r="F77" s="369"/>
      <c r="G77" s="369"/>
      <c r="H77" s="370"/>
      <c r="I77" s="370"/>
      <c r="J77" s="371"/>
      <c r="K77" s="371"/>
      <c r="L77" s="371"/>
      <c r="M77" s="371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1"/>
      <c r="Z77" s="370"/>
      <c r="AA77" s="370"/>
      <c r="AB77" s="370"/>
      <c r="AC77" s="370"/>
    </row>
    <row r="78" spans="1:31" s="284" customFormat="1" ht="12.75">
      <c r="A78" s="103"/>
      <c r="B78" s="369"/>
      <c r="C78" s="369"/>
      <c r="D78" s="369"/>
      <c r="E78" s="369"/>
      <c r="F78" s="369"/>
      <c r="G78" s="369"/>
      <c r="H78" s="370"/>
      <c r="I78" s="370"/>
      <c r="J78" s="371"/>
      <c r="K78" s="371"/>
      <c r="L78" s="371"/>
      <c r="M78" s="371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1"/>
      <c r="Z78" s="370"/>
      <c r="AA78" s="370"/>
      <c r="AB78" s="370"/>
      <c r="AC78" s="370"/>
      <c r="AD78" s="124"/>
      <c r="AE78" s="124"/>
    </row>
    <row r="79" spans="1:29" ht="12.75">
      <c r="A79" s="103"/>
      <c r="B79" s="369"/>
      <c r="C79" s="369"/>
      <c r="D79" s="369"/>
      <c r="E79" s="369"/>
      <c r="F79" s="369"/>
      <c r="G79" s="369"/>
      <c r="H79" s="370"/>
      <c r="I79" s="370"/>
      <c r="J79" s="371"/>
      <c r="K79" s="371"/>
      <c r="L79" s="371"/>
      <c r="M79" s="371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1"/>
      <c r="Z79" s="370"/>
      <c r="AA79" s="370"/>
      <c r="AB79" s="370"/>
      <c r="AC79" s="370"/>
    </row>
    <row r="80" spans="1:29" ht="12.75">
      <c r="A80" s="103"/>
      <c r="B80" s="369"/>
      <c r="C80" s="369"/>
      <c r="D80" s="369"/>
      <c r="E80" s="369"/>
      <c r="F80" s="369"/>
      <c r="G80" s="369"/>
      <c r="H80" s="370"/>
      <c r="I80" s="370"/>
      <c r="J80" s="371"/>
      <c r="K80" s="371"/>
      <c r="L80" s="371"/>
      <c r="M80" s="371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1"/>
      <c r="Z80" s="370"/>
      <c r="AA80" s="370"/>
      <c r="AB80" s="370"/>
      <c r="AC80" s="370"/>
    </row>
    <row r="81" spans="1:29" ht="12.75">
      <c r="A81" s="103"/>
      <c r="B81" s="369"/>
      <c r="C81" s="369"/>
      <c r="D81" s="369"/>
      <c r="E81" s="369"/>
      <c r="F81" s="369"/>
      <c r="G81" s="369"/>
      <c r="H81" s="370"/>
      <c r="I81" s="370"/>
      <c r="J81" s="371"/>
      <c r="K81" s="371"/>
      <c r="L81" s="371"/>
      <c r="M81" s="371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1"/>
      <c r="Z81" s="370"/>
      <c r="AA81" s="370"/>
      <c r="AB81" s="370"/>
      <c r="AC81" s="370"/>
    </row>
    <row r="82" spans="1:29" ht="12.75">
      <c r="A82" s="103"/>
      <c r="B82" s="369"/>
      <c r="C82" s="369"/>
      <c r="D82" s="369"/>
      <c r="E82" s="369"/>
      <c r="F82" s="369"/>
      <c r="G82" s="369"/>
      <c r="H82" s="370"/>
      <c r="I82" s="370"/>
      <c r="J82" s="371"/>
      <c r="K82" s="371"/>
      <c r="L82" s="371"/>
      <c r="M82" s="371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1"/>
      <c r="Z82" s="370"/>
      <c r="AA82" s="370"/>
      <c r="AB82" s="370"/>
      <c r="AC82" s="370"/>
    </row>
    <row r="83" spans="1:25" ht="12.75">
      <c r="A83" s="103"/>
      <c r="Y83" s="371"/>
    </row>
    <row r="84" spans="1:25" ht="12.75">
      <c r="A84" s="103"/>
      <c r="Y84" s="37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&amp;CPage &amp;P of &amp;N&amp;R&amp;F&amp;A</oddFooter>
  </headerFooter>
  <ignoredErrors>
    <ignoredError sqref="AD5:AD9 AD10 AD16:AD21 AD27:AD30 AD36 AE5:AF35 AE37:AF38 AF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9"/>
  <sheetViews>
    <sheetView showGridLines="0" view="pageBreakPreview" zoomScale="85" zoomScaleSheetLayoutView="85" zoomScalePageLayoutView="0" workbookViewId="0" topLeftCell="A1">
      <selection activeCell="X38" sqref="X38"/>
    </sheetView>
  </sheetViews>
  <sheetFormatPr defaultColWidth="9.140625" defaultRowHeight="12.75" outlineLevelRow="1" outlineLevelCol="1"/>
  <cols>
    <col min="1" max="1" width="38.421875" style="0" customWidth="1"/>
    <col min="2" max="8" width="9.140625" style="0" hidden="1" customWidth="1" outlineLevel="1"/>
    <col min="9" max="9" width="9.7109375" style="0" hidden="1" customWidth="1" outlineLevel="1"/>
    <col min="10" max="10" width="9.140625" style="54" hidden="1" customWidth="1" outlineLevel="1"/>
    <col min="11" max="12" width="9.140625" style="0" hidden="1" customWidth="1" outlineLevel="1"/>
    <col min="13" max="13" width="9.140625" style="0" customWidth="1" collapsed="1"/>
    <col min="14" max="24" width="8.8515625" style="0" customWidth="1"/>
    <col min="25" max="25" width="8.8515625" style="33" customWidth="1"/>
  </cols>
  <sheetData>
    <row r="2" spans="1:27" ht="12.75">
      <c r="A2" t="s">
        <v>36</v>
      </c>
      <c r="K2" s="32"/>
      <c r="L2" s="32"/>
      <c r="M2" s="32"/>
      <c r="Z2" s="32"/>
      <c r="AA2" s="32"/>
    </row>
    <row r="3" spans="12:13" ht="12.75">
      <c r="L3" s="32"/>
      <c r="M3" s="32"/>
    </row>
    <row r="4" spans="1:31" ht="12.75">
      <c r="A4" s="4" t="s">
        <v>213</v>
      </c>
      <c r="B4" s="8" t="s">
        <v>7</v>
      </c>
      <c r="C4" s="9" t="s">
        <v>26</v>
      </c>
      <c r="D4" s="9" t="s">
        <v>27</v>
      </c>
      <c r="E4" s="9" t="s">
        <v>28</v>
      </c>
      <c r="F4" s="8" t="s">
        <v>0</v>
      </c>
      <c r="G4" s="8" t="s">
        <v>25</v>
      </c>
      <c r="H4" s="9" t="s">
        <v>24</v>
      </c>
      <c r="I4" s="9" t="s">
        <v>153</v>
      </c>
      <c r="J4" s="63" t="s">
        <v>188</v>
      </c>
      <c r="K4" s="8" t="s">
        <v>191</v>
      </c>
      <c r="L4" s="8" t="s">
        <v>193</v>
      </c>
      <c r="M4" s="8" t="s">
        <v>196</v>
      </c>
      <c r="N4" s="9" t="s">
        <v>201</v>
      </c>
      <c r="O4" s="9" t="s">
        <v>211</v>
      </c>
      <c r="P4" s="9" t="s">
        <v>215</v>
      </c>
      <c r="Q4" s="9" t="s">
        <v>217</v>
      </c>
      <c r="R4" s="9" t="s">
        <v>219</v>
      </c>
      <c r="S4" s="9" t="s">
        <v>241</v>
      </c>
      <c r="T4" s="9" t="s">
        <v>246</v>
      </c>
      <c r="U4" s="9" t="s">
        <v>247</v>
      </c>
      <c r="V4" s="9" t="s">
        <v>251</v>
      </c>
      <c r="W4" s="9" t="s">
        <v>252</v>
      </c>
      <c r="X4" s="9" t="s">
        <v>254</v>
      </c>
      <c r="Y4" s="399"/>
      <c r="Z4" s="9">
        <v>2005</v>
      </c>
      <c r="AA4" s="9">
        <v>2006</v>
      </c>
      <c r="AB4" s="9">
        <v>2007</v>
      </c>
      <c r="AC4" s="9">
        <v>2008</v>
      </c>
      <c r="AD4" s="9">
        <v>2009</v>
      </c>
      <c r="AE4" s="9">
        <v>2010</v>
      </c>
    </row>
    <row r="5" spans="1:31" ht="12.75">
      <c r="A5" s="20" t="s">
        <v>183</v>
      </c>
      <c r="B5" s="10">
        <v>368.5924099999999</v>
      </c>
      <c r="C5" s="10">
        <v>912.28557</v>
      </c>
      <c r="D5" s="10">
        <v>1386.6619699999999</v>
      </c>
      <c r="E5" s="10">
        <v>1717.446</v>
      </c>
      <c r="F5" s="10">
        <v>390.27525000000026</v>
      </c>
      <c r="G5" s="10">
        <v>656.5988500000002</v>
      </c>
      <c r="H5" s="10">
        <v>1120.94985</v>
      </c>
      <c r="I5" s="10">
        <v>1677.844</v>
      </c>
      <c r="J5" s="10">
        <v>182.4</v>
      </c>
      <c r="K5" s="10">
        <v>324</v>
      </c>
      <c r="L5" s="10">
        <v>382</v>
      </c>
      <c r="M5" s="10">
        <v>402.4655999999999</v>
      </c>
      <c r="N5" s="23">
        <f>N7+N9</f>
        <v>398</v>
      </c>
      <c r="O5" s="23">
        <f>O7+O9</f>
        <v>1795</v>
      </c>
      <c r="P5" s="23">
        <f>P7+P9</f>
        <v>2199</v>
      </c>
      <c r="Q5" s="23">
        <v>2552.7953799999996</v>
      </c>
      <c r="R5" s="23">
        <v>287</v>
      </c>
      <c r="S5" s="23">
        <v>678</v>
      </c>
      <c r="T5" s="23">
        <v>1096</v>
      </c>
      <c r="U5" s="23">
        <v>1466.41956</v>
      </c>
      <c r="V5" s="23">
        <v>319.00955000000005</v>
      </c>
      <c r="W5" s="23">
        <f>W7+W9</f>
        <v>1114.8746</v>
      </c>
      <c r="X5" s="23">
        <f>X7+X9</f>
        <v>1865</v>
      </c>
      <c r="Y5" s="23"/>
      <c r="Z5" s="10">
        <v>2122.1082100000012</v>
      </c>
      <c r="AA5" s="10">
        <v>1717.446</v>
      </c>
      <c r="AB5" s="10">
        <v>1677.844</v>
      </c>
      <c r="AC5" s="10">
        <v>402.4655999999999</v>
      </c>
      <c r="AD5" s="10">
        <f>Q5</f>
        <v>2552.7953799999996</v>
      </c>
      <c r="AE5" s="10">
        <f>U5</f>
        <v>1466.41956</v>
      </c>
    </row>
    <row r="6" spans="1:31" s="43" customFormat="1" ht="12.75">
      <c r="A6" s="29" t="s">
        <v>154</v>
      </c>
      <c r="B6" s="40"/>
      <c r="C6" s="40"/>
      <c r="D6" s="40"/>
      <c r="E6" s="40"/>
      <c r="F6" s="40"/>
      <c r="G6" s="40"/>
      <c r="H6" s="42"/>
      <c r="I6" s="42"/>
      <c r="J6" s="69"/>
      <c r="K6" s="40"/>
      <c r="L6" s="38"/>
      <c r="M6" s="38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38"/>
      <c r="AA6" s="38">
        <v>-0.19068877265217365</v>
      </c>
      <c r="AB6" s="38">
        <v>-0.023058658030587154</v>
      </c>
      <c r="AC6" s="38">
        <v>-0.7601293088034407</v>
      </c>
      <c r="AD6" s="38">
        <f>AD5/AC5-1</f>
        <v>5.3428908706731715</v>
      </c>
      <c r="AE6" s="38">
        <f>AE5/AD5-1</f>
        <v>-0.4255632192502635</v>
      </c>
    </row>
    <row r="7" spans="1:31" ht="12.75">
      <c r="A7" s="34" t="s">
        <v>41</v>
      </c>
      <c r="B7" s="10">
        <v>222.2471099999999</v>
      </c>
      <c r="C7" s="10">
        <v>637.8864199999999</v>
      </c>
      <c r="D7" s="10">
        <v>873.6062199999999</v>
      </c>
      <c r="E7" s="10">
        <v>974.85</v>
      </c>
      <c r="F7" s="10">
        <v>110.33825000000024</v>
      </c>
      <c r="G7" s="10">
        <v>123.64430000000027</v>
      </c>
      <c r="H7" s="10">
        <v>269.6474000000002</v>
      </c>
      <c r="I7" s="10">
        <v>536.837</v>
      </c>
      <c r="J7" s="64">
        <v>21.4</v>
      </c>
      <c r="K7" s="10">
        <v>29</v>
      </c>
      <c r="L7" s="10">
        <v>34</v>
      </c>
      <c r="M7" s="23">
        <v>34.792</v>
      </c>
      <c r="N7" s="23">
        <v>182</v>
      </c>
      <c r="O7" s="23">
        <v>1105</v>
      </c>
      <c r="P7" s="23">
        <v>1122</v>
      </c>
      <c r="Q7" s="23">
        <v>1140.34828</v>
      </c>
      <c r="R7" s="23">
        <v>57</v>
      </c>
      <c r="S7" s="23">
        <v>144</v>
      </c>
      <c r="T7" s="23">
        <v>206</v>
      </c>
      <c r="U7" s="23">
        <v>271.53576000000004</v>
      </c>
      <c r="V7" s="23">
        <v>47.46825</v>
      </c>
      <c r="W7" s="23">
        <v>553.2570000000001</v>
      </c>
      <c r="X7" s="23">
        <v>1045</v>
      </c>
      <c r="Y7" s="23"/>
      <c r="Z7" s="10">
        <v>1440.8681100000013</v>
      </c>
      <c r="AA7" s="10">
        <v>974.85</v>
      </c>
      <c r="AB7" s="10">
        <v>536.837</v>
      </c>
      <c r="AC7" s="23">
        <v>34.792</v>
      </c>
      <c r="AD7" s="23">
        <f>Q7</f>
        <v>1140.34828</v>
      </c>
      <c r="AE7" s="23">
        <f>U7</f>
        <v>271.53576000000004</v>
      </c>
    </row>
    <row r="8" spans="1:31" s="43" customFormat="1" ht="12.75">
      <c r="A8" s="29" t="s">
        <v>154</v>
      </c>
      <c r="B8" s="27"/>
      <c r="C8" s="27"/>
      <c r="D8" s="27"/>
      <c r="E8" s="27"/>
      <c r="F8" s="27"/>
      <c r="G8" s="27"/>
      <c r="H8" s="28"/>
      <c r="I8" s="28"/>
      <c r="J8" s="70"/>
      <c r="K8" s="27"/>
      <c r="L8" s="28"/>
      <c r="M8" s="74"/>
      <c r="N8" s="50"/>
      <c r="O8" s="50"/>
      <c r="P8" s="50"/>
      <c r="Y8" s="50"/>
      <c r="Z8" s="38"/>
      <c r="AA8" s="38">
        <v>-0.3234287071562718</v>
      </c>
      <c r="AB8" s="38">
        <v>-0.44931322767605275</v>
      </c>
      <c r="AC8" s="38">
        <v>-0.935190756225819</v>
      </c>
      <c r="AD8" s="38">
        <f>AD7/AC7-1</f>
        <v>31.776163485858817</v>
      </c>
      <c r="AE8" s="38">
        <f>AE7/AD7-1</f>
        <v>-0.7618834835266293</v>
      </c>
    </row>
    <row r="9" spans="1:31" ht="12.75">
      <c r="A9" s="34" t="s">
        <v>42</v>
      </c>
      <c r="B9" s="10">
        <v>146.3453</v>
      </c>
      <c r="C9" s="10">
        <v>274.39915</v>
      </c>
      <c r="D9" s="10">
        <v>513.05575</v>
      </c>
      <c r="E9" s="10">
        <v>742.596</v>
      </c>
      <c r="F9" s="10">
        <v>279.937</v>
      </c>
      <c r="G9" s="10">
        <v>532.9545499999999</v>
      </c>
      <c r="H9" s="10">
        <v>851.3024499999999</v>
      </c>
      <c r="I9" s="10">
        <v>1141.007</v>
      </c>
      <c r="J9" s="64">
        <v>161</v>
      </c>
      <c r="K9" s="10">
        <v>295</v>
      </c>
      <c r="L9" s="10">
        <v>348</v>
      </c>
      <c r="M9" s="23">
        <v>367.67359999999985</v>
      </c>
      <c r="N9" s="23">
        <v>216</v>
      </c>
      <c r="O9" s="23">
        <v>690</v>
      </c>
      <c r="P9" s="23">
        <v>1077</v>
      </c>
      <c r="Q9" s="23">
        <v>1412.4470999999999</v>
      </c>
      <c r="R9" s="23">
        <v>229.95560000000003</v>
      </c>
      <c r="S9" s="23">
        <v>534</v>
      </c>
      <c r="T9" s="23">
        <v>890</v>
      </c>
      <c r="U9" s="23">
        <v>1194.8838</v>
      </c>
      <c r="V9" s="23">
        <v>271.54130000000004</v>
      </c>
      <c r="W9" s="23">
        <v>561.6176</v>
      </c>
      <c r="X9" s="23">
        <v>820</v>
      </c>
      <c r="Y9" s="23"/>
      <c r="Z9" s="10">
        <v>681.2401000000001</v>
      </c>
      <c r="AA9" s="10">
        <v>742.596</v>
      </c>
      <c r="AB9" s="10">
        <v>1141.007</v>
      </c>
      <c r="AC9" s="10">
        <v>367.67359999999985</v>
      </c>
      <c r="AD9" s="10">
        <f>Q9</f>
        <v>1412.4470999999999</v>
      </c>
      <c r="AE9" s="10">
        <f>U9</f>
        <v>1194.8838</v>
      </c>
    </row>
    <row r="10" spans="1:31" s="43" customFormat="1" ht="12.75">
      <c r="A10" s="29" t="s">
        <v>154</v>
      </c>
      <c r="B10" s="40"/>
      <c r="C10" s="40"/>
      <c r="D10" s="40"/>
      <c r="E10" s="40"/>
      <c r="F10" s="40"/>
      <c r="G10" s="40"/>
      <c r="H10" s="42"/>
      <c r="I10" s="42"/>
      <c r="J10" s="55"/>
      <c r="K10" s="40"/>
      <c r="L10" s="38"/>
      <c r="M10" s="7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38"/>
      <c r="AA10" s="38">
        <v>0.09006501525673527</v>
      </c>
      <c r="AB10" s="38">
        <v>0.5365111042881998</v>
      </c>
      <c r="AC10" s="38">
        <v>-0.6777639400985271</v>
      </c>
      <c r="AD10" s="38">
        <f>AD9/AC9-1</f>
        <v>2.8415787807446615</v>
      </c>
      <c r="AE10" s="38">
        <f>AE9/AD9-1</f>
        <v>-0.15403288378021363</v>
      </c>
    </row>
    <row r="11" spans="1:31" ht="12.75">
      <c r="A11" s="5"/>
      <c r="B11" s="13"/>
      <c r="C11" s="13"/>
      <c r="D11" s="13"/>
      <c r="E11" s="13"/>
      <c r="F11" s="13"/>
      <c r="G11" s="13"/>
      <c r="H11" s="13"/>
      <c r="I11" s="13"/>
      <c r="J11" s="56"/>
      <c r="K11" s="13"/>
      <c r="L11" s="13"/>
      <c r="M11" s="1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13"/>
      <c r="AA11" s="13"/>
      <c r="AB11" s="13"/>
      <c r="AC11" s="13"/>
      <c r="AD11" s="13"/>
      <c r="AE11" s="13"/>
    </row>
    <row r="12" spans="1:31" ht="12.75">
      <c r="A12" s="1"/>
      <c r="B12" s="15"/>
      <c r="C12" s="15"/>
      <c r="D12" s="15"/>
      <c r="E12" s="15"/>
      <c r="F12" s="15"/>
      <c r="G12" s="15"/>
      <c r="H12" s="15"/>
      <c r="I12" s="15"/>
      <c r="J12" s="57"/>
      <c r="K12" s="15"/>
      <c r="L12" s="15"/>
      <c r="M12" s="15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5"/>
      <c r="AA12" s="15"/>
      <c r="AB12" s="15"/>
      <c r="AC12" s="15"/>
      <c r="AD12" s="15"/>
      <c r="AE12" s="15"/>
    </row>
    <row r="13" spans="1:31" ht="12.75">
      <c r="A13" s="30" t="s">
        <v>214</v>
      </c>
      <c r="B13" s="8" t="s">
        <v>7</v>
      </c>
      <c r="C13" s="9" t="s">
        <v>26</v>
      </c>
      <c r="D13" s="9" t="s">
        <v>27</v>
      </c>
      <c r="E13" s="9" t="s">
        <v>28</v>
      </c>
      <c r="F13" s="8" t="s">
        <v>0</v>
      </c>
      <c r="G13" s="8" t="s">
        <v>25</v>
      </c>
      <c r="H13" s="9" t="s">
        <v>24</v>
      </c>
      <c r="I13" s="9" t="s">
        <v>153</v>
      </c>
      <c r="J13" s="63" t="s">
        <v>188</v>
      </c>
      <c r="K13" s="8" t="s">
        <v>191</v>
      </c>
      <c r="L13" s="8" t="s">
        <v>193</v>
      </c>
      <c r="M13" s="8" t="s">
        <v>196</v>
      </c>
      <c r="N13" s="9" t="s">
        <v>201</v>
      </c>
      <c r="O13" s="9" t="s">
        <v>211</v>
      </c>
      <c r="P13" s="9" t="s">
        <v>215</v>
      </c>
      <c r="Q13" s="9" t="s">
        <v>217</v>
      </c>
      <c r="R13" s="9" t="s">
        <v>219</v>
      </c>
      <c r="S13" s="9" t="s">
        <v>241</v>
      </c>
      <c r="T13" s="9" t="s">
        <v>246</v>
      </c>
      <c r="U13" s="9" t="s">
        <v>247</v>
      </c>
      <c r="V13" s="9" t="s">
        <v>251</v>
      </c>
      <c r="W13" s="9" t="s">
        <v>252</v>
      </c>
      <c r="X13" s="9" t="s">
        <v>254</v>
      </c>
      <c r="Y13" s="399"/>
      <c r="Z13" s="9">
        <v>2005</v>
      </c>
      <c r="AA13" s="9">
        <v>2006</v>
      </c>
      <c r="AB13" s="9">
        <v>2007</v>
      </c>
      <c r="AC13" s="9">
        <v>2008</v>
      </c>
      <c r="AD13" s="9">
        <v>2009</v>
      </c>
      <c r="AE13" s="9">
        <v>2010</v>
      </c>
    </row>
    <row r="14" spans="1:31" ht="12.75">
      <c r="A14" s="20" t="s">
        <v>34</v>
      </c>
      <c r="B14" s="10">
        <v>25.363202724503306</v>
      </c>
      <c r="C14" s="10">
        <v>29.17338515082501</v>
      </c>
      <c r="D14" s="10">
        <v>32.241182840808456</v>
      </c>
      <c r="E14" s="10">
        <v>32.698820387231585</v>
      </c>
      <c r="F14" s="10">
        <v>38.40346602524119</v>
      </c>
      <c r="G14" s="10">
        <v>33.915058377037006</v>
      </c>
      <c r="H14" s="19">
        <v>38.569002535523055</v>
      </c>
      <c r="I14" s="19">
        <v>41.15641424030388</v>
      </c>
      <c r="J14" s="10">
        <v>47.78996147557706</v>
      </c>
      <c r="K14" s="10">
        <v>55.688821085113</v>
      </c>
      <c r="L14" s="10">
        <v>57.70808470118982</v>
      </c>
      <c r="M14" s="10">
        <v>55.87654523273336</v>
      </c>
      <c r="N14" s="23">
        <v>32.72445194840246</v>
      </c>
      <c r="O14" s="23">
        <v>33.32894153694616</v>
      </c>
      <c r="P14" s="23">
        <v>31.64657206566183</v>
      </c>
      <c r="Q14" s="23">
        <v>30.66019284484693</v>
      </c>
      <c r="R14" s="23">
        <v>39.102088690320244</v>
      </c>
      <c r="S14" s="23">
        <v>52.6065210791879</v>
      </c>
      <c r="T14" s="23">
        <v>54.03275515416945</v>
      </c>
      <c r="U14" s="23">
        <v>55.114946219076764</v>
      </c>
      <c r="V14" s="23">
        <v>65.85714401965666</v>
      </c>
      <c r="W14" s="64">
        <v>89.32454443772379</v>
      </c>
      <c r="X14" s="64">
        <v>83.24871893254348</v>
      </c>
      <c r="Y14" s="23"/>
      <c r="Z14" s="10">
        <v>36.47403629877551</v>
      </c>
      <c r="AA14" s="10">
        <v>32.698820387231585</v>
      </c>
      <c r="AB14" s="10">
        <v>41.15641424030388</v>
      </c>
      <c r="AC14" s="10">
        <v>55.87654523273336</v>
      </c>
      <c r="AD14" s="10">
        <f>Q14</f>
        <v>30.66019284484693</v>
      </c>
      <c r="AE14" s="10">
        <f>U14</f>
        <v>55.114946219076764</v>
      </c>
    </row>
    <row r="15" spans="1:31" s="43" customFormat="1" ht="12.75">
      <c r="A15" s="29" t="s">
        <v>154</v>
      </c>
      <c r="B15" s="40"/>
      <c r="C15" s="40"/>
      <c r="D15" s="40"/>
      <c r="E15" s="40"/>
      <c r="F15" s="40"/>
      <c r="G15" s="40"/>
      <c r="H15" s="42"/>
      <c r="I15" s="42"/>
      <c r="J15" s="72"/>
      <c r="K15" s="38"/>
      <c r="L15" s="38"/>
      <c r="M15" s="38"/>
      <c r="W15" s="395"/>
      <c r="X15" s="395"/>
      <c r="Y15" s="80"/>
      <c r="Z15" s="38"/>
      <c r="AA15" s="38">
        <v>-0.10350419900389973</v>
      </c>
      <c r="AB15" s="38">
        <v>0.25865134438840065</v>
      </c>
      <c r="AC15" s="38">
        <v>0.3576631070549938</v>
      </c>
      <c r="AD15" s="38">
        <f>AD14/AC14-1</f>
        <v>-0.45128689117870335</v>
      </c>
      <c r="AE15" s="38">
        <f>AE14/AD14-1</f>
        <v>0.7976059869545131</v>
      </c>
    </row>
    <row r="16" spans="1:31" ht="12.75">
      <c r="A16" s="34" t="s">
        <v>41</v>
      </c>
      <c r="B16" s="10">
        <v>30.128741978212854</v>
      </c>
      <c r="C16" s="10">
        <v>33.396039055175315</v>
      </c>
      <c r="D16" s="10">
        <v>38.00658133229873</v>
      </c>
      <c r="E16" s="10">
        <v>39.413760226366605</v>
      </c>
      <c r="F16" s="10">
        <v>64.79837917466402</v>
      </c>
      <c r="G16" s="10">
        <v>60.69619276116761</v>
      </c>
      <c r="H16" s="19">
        <v>64.25631239150857</v>
      </c>
      <c r="I16" s="19">
        <v>62.70492963188649</v>
      </c>
      <c r="J16" s="64">
        <v>68.45436859834756</v>
      </c>
      <c r="K16" s="10">
        <v>77.7008444617536</v>
      </c>
      <c r="L16" s="10">
        <v>79.59986563730808</v>
      </c>
      <c r="M16" s="10">
        <v>78.1047</v>
      </c>
      <c r="N16" s="10">
        <v>45.57255316152837</v>
      </c>
      <c r="O16" s="10">
        <v>40.682151063944815</v>
      </c>
      <c r="P16" s="10">
        <v>41.51008589838559</v>
      </c>
      <c r="Q16" s="10">
        <v>42.60955006111823</v>
      </c>
      <c r="R16" s="10">
        <v>67.58598843392896</v>
      </c>
      <c r="S16" s="10">
        <v>79.24134468617751</v>
      </c>
      <c r="T16" s="10">
        <v>83.88162360026409</v>
      </c>
      <c r="U16" s="10">
        <v>84.47071249385718</v>
      </c>
      <c r="V16" s="10">
        <v>92.50408947210975</v>
      </c>
      <c r="W16" s="396">
        <v>115.63801677316282</v>
      </c>
      <c r="X16" s="396">
        <v>110.91845729813491</v>
      </c>
      <c r="Z16" s="10">
        <v>44.76072573026624</v>
      </c>
      <c r="AA16" s="10">
        <v>39.413760226366605</v>
      </c>
      <c r="AB16" s="10">
        <v>62.70492963188649</v>
      </c>
      <c r="AC16" s="10">
        <v>78.1047</v>
      </c>
      <c r="AD16" s="10">
        <f>Q16</f>
        <v>42.60955006111823</v>
      </c>
      <c r="AE16" s="10">
        <f>U16</f>
        <v>84.47071249385718</v>
      </c>
    </row>
    <row r="17" spans="1:31" s="43" customFormat="1" ht="12.75">
      <c r="A17" s="29" t="s">
        <v>154</v>
      </c>
      <c r="B17" s="40"/>
      <c r="C17" s="40"/>
      <c r="D17" s="40"/>
      <c r="E17" s="40"/>
      <c r="F17" s="40"/>
      <c r="G17" s="40"/>
      <c r="H17" s="42"/>
      <c r="I17" s="42"/>
      <c r="J17" s="72"/>
      <c r="K17" s="38"/>
      <c r="L17" s="38"/>
      <c r="M17" s="38"/>
      <c r="N17" s="61"/>
      <c r="O17" s="61"/>
      <c r="P17" s="61"/>
      <c r="Q17" s="61"/>
      <c r="R17" s="61"/>
      <c r="S17" s="61"/>
      <c r="T17" s="61"/>
      <c r="U17" s="61"/>
      <c r="V17" s="61"/>
      <c r="W17" s="79"/>
      <c r="X17" s="79"/>
      <c r="Y17" s="61"/>
      <c r="Z17" s="38"/>
      <c r="AA17" s="38">
        <v>-0.11945663115743743</v>
      </c>
      <c r="AB17" s="38">
        <v>0.5909400491541734</v>
      </c>
      <c r="AC17" s="38">
        <v>0.24559106370932704</v>
      </c>
      <c r="AD17" s="38">
        <f>AD16/AC16-1</f>
        <v>-0.454456005066043</v>
      </c>
      <c r="AE17" s="38">
        <f>AE16/AD16-1</f>
        <v>0.9824361527566987</v>
      </c>
    </row>
    <row r="18" spans="1:31" ht="12.75">
      <c r="A18" s="34" t="s">
        <v>42</v>
      </c>
      <c r="B18" s="10">
        <v>18.126022393269547</v>
      </c>
      <c r="C18" s="10">
        <v>19.35712448841028</v>
      </c>
      <c r="D18" s="10">
        <v>22.424144472279274</v>
      </c>
      <c r="E18" s="10">
        <v>23.883718902466278</v>
      </c>
      <c r="F18" s="10">
        <v>27.999809038814565</v>
      </c>
      <c r="G18" s="10">
        <v>27.701893269183497</v>
      </c>
      <c r="H18" s="19">
        <v>30.432627131386873</v>
      </c>
      <c r="I18" s="19">
        <v>31.0179660473734</v>
      </c>
      <c r="J18" s="64">
        <v>45.04326388286099</v>
      </c>
      <c r="K18" s="10">
        <v>53.52492726164663</v>
      </c>
      <c r="L18" s="10">
        <v>55.56923254076447</v>
      </c>
      <c r="M18" s="10">
        <v>53.773150004559064</v>
      </c>
      <c r="N18" s="23">
        <v>21.898737037342674</v>
      </c>
      <c r="O18" s="23">
        <v>21.55314946834688</v>
      </c>
      <c r="P18" s="23">
        <v>21.370933699537343</v>
      </c>
      <c r="Q18" s="23">
        <v>21.012694809047158</v>
      </c>
      <c r="R18" s="23">
        <v>32.06583255765502</v>
      </c>
      <c r="S18" s="23">
        <v>45.42409673573003</v>
      </c>
      <c r="T18" s="23">
        <v>47.12391594080373</v>
      </c>
      <c r="U18" s="23">
        <v>48.443887237605196</v>
      </c>
      <c r="V18" s="23">
        <v>61.198980165858345</v>
      </c>
      <c r="W18" s="79">
        <v>63.40279133759304</v>
      </c>
      <c r="X18" s="79">
        <v>59.24945606442848</v>
      </c>
      <c r="Y18" s="23"/>
      <c r="Z18" s="10">
        <v>18.947137134576217</v>
      </c>
      <c r="AA18" s="10">
        <v>23.883718902466278</v>
      </c>
      <c r="AB18" s="10">
        <v>31.0179660473734</v>
      </c>
      <c r="AC18" s="10">
        <v>53.773150004559064</v>
      </c>
      <c r="AD18" s="10">
        <f>Q18</f>
        <v>21.012694809047158</v>
      </c>
      <c r="AE18" s="10">
        <f>R18</f>
        <v>32.06583255765502</v>
      </c>
    </row>
    <row r="19" spans="1:31" s="43" customFormat="1" ht="12.75">
      <c r="A19" s="29" t="s">
        <v>154</v>
      </c>
      <c r="B19" s="40"/>
      <c r="C19" s="40"/>
      <c r="D19" s="40"/>
      <c r="E19" s="40"/>
      <c r="F19" s="40"/>
      <c r="G19" s="40"/>
      <c r="H19" s="42"/>
      <c r="I19" s="42"/>
      <c r="J19" s="73"/>
      <c r="K19" s="38"/>
      <c r="L19" s="38"/>
      <c r="M19" s="38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38"/>
      <c r="AA19" s="38">
        <v>0.26054499594460645</v>
      </c>
      <c r="AB19" s="38">
        <v>0.29870754944157474</v>
      </c>
      <c r="AC19" s="38">
        <v>0.733613026799756</v>
      </c>
      <c r="AD19" s="38">
        <f>AD18/AC18-1</f>
        <v>-0.6092344449364482</v>
      </c>
      <c r="AE19" s="38">
        <f>AE18/AD18-1</f>
        <v>0.5260219048081762</v>
      </c>
    </row>
    <row r="20" spans="1:31" ht="12.75">
      <c r="A20" s="5"/>
      <c r="B20" s="14"/>
      <c r="C20" s="14"/>
      <c r="D20" s="14"/>
      <c r="E20" s="14"/>
      <c r="F20" s="14"/>
      <c r="G20" s="14"/>
      <c r="H20" s="22"/>
      <c r="I20" s="16"/>
      <c r="J20" s="56"/>
      <c r="K20" s="13"/>
      <c r="L20" s="13"/>
      <c r="M20" s="13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  <c r="Z20" s="13"/>
      <c r="AA20" s="13"/>
      <c r="AB20" s="13"/>
      <c r="AC20" s="13"/>
      <c r="AD20" s="13"/>
      <c r="AE20" s="13"/>
    </row>
    <row r="21" spans="1:31" ht="12.75">
      <c r="A21" s="1"/>
      <c r="B21" s="12"/>
      <c r="C21" s="12"/>
      <c r="D21" s="12"/>
      <c r="E21" s="12"/>
      <c r="F21" s="12"/>
      <c r="G21" s="12"/>
      <c r="H21" s="18"/>
      <c r="I21" s="18"/>
      <c r="J21" s="58"/>
      <c r="K21" s="12"/>
      <c r="L21" s="15"/>
      <c r="M21" s="15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15"/>
      <c r="AA21" s="15"/>
      <c r="AB21" s="15"/>
      <c r="AC21" s="15"/>
      <c r="AD21" s="15"/>
      <c r="AE21" s="15"/>
    </row>
    <row r="22" spans="1:31" ht="12.75">
      <c r="A22" s="4" t="s">
        <v>1</v>
      </c>
      <c r="B22" s="8" t="s">
        <v>7</v>
      </c>
      <c r="C22" s="9" t="s">
        <v>26</v>
      </c>
      <c r="D22" s="9" t="s">
        <v>27</v>
      </c>
      <c r="E22" s="9" t="s">
        <v>28</v>
      </c>
      <c r="F22" s="8" t="s">
        <v>0</v>
      </c>
      <c r="G22" s="8" t="s">
        <v>25</v>
      </c>
      <c r="H22" s="9" t="s">
        <v>24</v>
      </c>
      <c r="I22" s="9" t="s">
        <v>153</v>
      </c>
      <c r="J22" s="63" t="s">
        <v>188</v>
      </c>
      <c r="K22" s="8" t="s">
        <v>191</v>
      </c>
      <c r="L22" s="8" t="s">
        <v>193</v>
      </c>
      <c r="M22" s="8" t="s">
        <v>196</v>
      </c>
      <c r="N22" s="9" t="s">
        <v>201</v>
      </c>
      <c r="O22" s="9" t="s">
        <v>211</v>
      </c>
      <c r="P22" s="9" t="s">
        <v>215</v>
      </c>
      <c r="Q22" s="9" t="s">
        <v>217</v>
      </c>
      <c r="R22" s="9" t="s">
        <v>219</v>
      </c>
      <c r="S22" s="9" t="s">
        <v>241</v>
      </c>
      <c r="T22" s="9" t="s">
        <v>246</v>
      </c>
      <c r="U22" s="9" t="s">
        <v>247</v>
      </c>
      <c r="V22" s="9" t="s">
        <v>251</v>
      </c>
      <c r="W22" s="9" t="s">
        <v>252</v>
      </c>
      <c r="X22" s="9" t="s">
        <v>254</v>
      </c>
      <c r="Y22" s="399"/>
      <c r="Z22" s="9">
        <v>2005</v>
      </c>
      <c r="AA22" s="9">
        <v>2006</v>
      </c>
      <c r="AB22" s="9">
        <v>2007</v>
      </c>
      <c r="AC22" s="9">
        <v>2008</v>
      </c>
      <c r="AD22" s="9">
        <v>2009</v>
      </c>
      <c r="AE22" s="9">
        <v>2010</v>
      </c>
    </row>
    <row r="23" spans="1:31" ht="12.75">
      <c r="A23" s="20" t="s">
        <v>38</v>
      </c>
      <c r="B23" s="31">
        <v>16.389</v>
      </c>
      <c r="C23" s="10">
        <v>43.105</v>
      </c>
      <c r="D23" s="10">
        <v>70.409</v>
      </c>
      <c r="E23" s="10">
        <v>90.998</v>
      </c>
      <c r="F23" s="10">
        <v>23.17</v>
      </c>
      <c r="G23" s="10">
        <v>43.102</v>
      </c>
      <c r="H23" s="19">
        <v>71.495</v>
      </c>
      <c r="I23" s="19">
        <v>105.442</v>
      </c>
      <c r="J23" s="64">
        <v>20.889</v>
      </c>
      <c r="K23" s="10">
        <v>41.198</v>
      </c>
      <c r="L23" s="10">
        <v>50.694</v>
      </c>
      <c r="M23" s="10">
        <v>62.886</v>
      </c>
      <c r="N23" s="79">
        <v>12.482</v>
      </c>
      <c r="O23" s="79">
        <v>60.935</v>
      </c>
      <c r="P23" s="79">
        <v>72.542</v>
      </c>
      <c r="Q23" s="79">
        <v>84.997</v>
      </c>
      <c r="R23" s="79">
        <v>12.907</v>
      </c>
      <c r="S23" s="79">
        <v>37.504</v>
      </c>
      <c r="T23" s="79">
        <v>60.54</v>
      </c>
      <c r="U23" s="79">
        <v>81.364</v>
      </c>
      <c r="V23" s="79">
        <v>20.095</v>
      </c>
      <c r="W23" s="79">
        <v>55.845</v>
      </c>
      <c r="X23" s="79">
        <v>147.758</v>
      </c>
      <c r="Y23" s="79"/>
      <c r="Z23" s="31">
        <v>94.661</v>
      </c>
      <c r="AA23" s="10">
        <v>90.998</v>
      </c>
      <c r="AB23" s="19">
        <v>105.442</v>
      </c>
      <c r="AC23" s="10">
        <v>62.886</v>
      </c>
      <c r="AD23" s="10">
        <f>Q23</f>
        <v>84.997</v>
      </c>
      <c r="AE23" s="10">
        <f>U23</f>
        <v>81.364</v>
      </c>
    </row>
    <row r="24" spans="1:31" s="43" customFormat="1" ht="12.75">
      <c r="A24" s="29" t="s">
        <v>154</v>
      </c>
      <c r="B24" s="40"/>
      <c r="C24" s="41"/>
      <c r="D24" s="41"/>
      <c r="E24" s="41"/>
      <c r="F24" s="41"/>
      <c r="G24" s="41"/>
      <c r="H24" s="41"/>
      <c r="I24" s="41"/>
      <c r="J24" s="65"/>
      <c r="K24" s="41"/>
      <c r="L24" s="42"/>
      <c r="M24" s="4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40"/>
      <c r="AA24" s="38">
        <v>-0.03869597828038995</v>
      </c>
      <c r="AB24" s="38">
        <v>0.15872876326952223</v>
      </c>
      <c r="AC24" s="38">
        <v>-0.403596289903454</v>
      </c>
      <c r="AD24" s="38">
        <f>AD23/AC23-1</f>
        <v>0.3516044906656488</v>
      </c>
      <c r="AE24" s="38">
        <f>AE23/AD23-1</f>
        <v>-0.04274268503594236</v>
      </c>
    </row>
    <row r="25" spans="1:31" ht="12.75">
      <c r="A25" s="1" t="s">
        <v>155</v>
      </c>
      <c r="B25" s="23" t="s">
        <v>156</v>
      </c>
      <c r="C25" s="23" t="s">
        <v>156</v>
      </c>
      <c r="D25" s="23" t="s">
        <v>156</v>
      </c>
      <c r="E25" s="10">
        <v>71.795</v>
      </c>
      <c r="F25" s="23" t="s">
        <v>156</v>
      </c>
      <c r="G25" s="23" t="s">
        <v>156</v>
      </c>
      <c r="H25" s="23" t="s">
        <v>156</v>
      </c>
      <c r="I25" s="19">
        <v>80.306</v>
      </c>
      <c r="J25" s="64" t="s">
        <v>156</v>
      </c>
      <c r="K25" s="23" t="s">
        <v>156</v>
      </c>
      <c r="L25" s="23" t="s">
        <v>156</v>
      </c>
      <c r="M25" s="23">
        <v>77.494</v>
      </c>
      <c r="N25" s="23" t="s">
        <v>156</v>
      </c>
      <c r="O25" s="23" t="s">
        <v>156</v>
      </c>
      <c r="P25" s="23" t="s">
        <v>156</v>
      </c>
      <c r="Q25" s="23">
        <v>81.232</v>
      </c>
      <c r="R25" s="23" t="s">
        <v>156</v>
      </c>
      <c r="S25" s="23" t="s">
        <v>156</v>
      </c>
      <c r="T25" s="23" t="s">
        <v>156</v>
      </c>
      <c r="U25" s="23">
        <v>57.059</v>
      </c>
      <c r="V25" s="23" t="s">
        <v>156</v>
      </c>
      <c r="W25" s="23" t="s">
        <v>156</v>
      </c>
      <c r="X25" s="23" t="s">
        <v>156</v>
      </c>
      <c r="Y25" s="23"/>
      <c r="Z25" s="31">
        <v>68.359</v>
      </c>
      <c r="AA25" s="10">
        <v>71.795</v>
      </c>
      <c r="AB25" s="19">
        <v>80.306</v>
      </c>
      <c r="AC25" s="23">
        <v>77.494</v>
      </c>
      <c r="AD25" s="23">
        <f>Q25</f>
        <v>81.232</v>
      </c>
      <c r="AE25" s="23">
        <f>U25</f>
        <v>57.059</v>
      </c>
    </row>
    <row r="26" spans="1:31" s="43" customFormat="1" ht="12.75">
      <c r="A26" s="29" t="s">
        <v>154</v>
      </c>
      <c r="B26" s="40"/>
      <c r="C26" s="41"/>
      <c r="D26" s="41"/>
      <c r="E26" s="41"/>
      <c r="F26" s="41"/>
      <c r="G26" s="41"/>
      <c r="H26" s="41"/>
      <c r="I26" s="41"/>
      <c r="J26" s="65"/>
      <c r="K26" s="41"/>
      <c r="L26" s="42"/>
      <c r="M26" s="42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40"/>
      <c r="AA26" s="38">
        <v>0.05026404716277311</v>
      </c>
      <c r="AB26" s="38">
        <v>0.11854585973953613</v>
      </c>
      <c r="AC26" s="38">
        <v>-0.035016063556894794</v>
      </c>
      <c r="AD26" s="38">
        <f>AD25/AC25-1</f>
        <v>0.04823599246393262</v>
      </c>
      <c r="AE26" s="38">
        <f>AE25/AD25-1</f>
        <v>-0.29757977151861337</v>
      </c>
    </row>
    <row r="27" spans="1:31" ht="12.75">
      <c r="A27" s="1" t="s">
        <v>3</v>
      </c>
      <c r="B27" s="31">
        <v>29.847</v>
      </c>
      <c r="C27" s="11">
        <v>89.048</v>
      </c>
      <c r="D27" s="11">
        <v>183.267</v>
      </c>
      <c r="E27" s="11">
        <v>297.286</v>
      </c>
      <c r="F27" s="11">
        <v>124.231</v>
      </c>
      <c r="G27" s="11">
        <v>254.797</v>
      </c>
      <c r="H27" s="11">
        <v>384.5</v>
      </c>
      <c r="I27" s="11">
        <v>523.245</v>
      </c>
      <c r="J27" s="66">
        <v>156.39</v>
      </c>
      <c r="K27" s="11">
        <v>315.562</v>
      </c>
      <c r="L27" s="10">
        <v>474.293</v>
      </c>
      <c r="M27" s="10">
        <v>548.473</v>
      </c>
      <c r="N27" s="23">
        <v>23.977</v>
      </c>
      <c r="O27" s="23">
        <v>73.132</v>
      </c>
      <c r="P27" s="23">
        <v>121.172</v>
      </c>
      <c r="Q27" s="23">
        <v>159.78</v>
      </c>
      <c r="R27" s="23">
        <v>62.292</v>
      </c>
      <c r="S27" s="23">
        <v>225.893</v>
      </c>
      <c r="T27" s="23">
        <v>388.697</v>
      </c>
      <c r="U27" s="23">
        <v>544.544</v>
      </c>
      <c r="V27" s="23">
        <v>196.372</v>
      </c>
      <c r="W27" s="23">
        <v>478.444</v>
      </c>
      <c r="X27" s="23">
        <v>746.266</v>
      </c>
      <c r="Y27" s="23"/>
      <c r="Z27" s="31">
        <v>277.479</v>
      </c>
      <c r="AA27" s="11">
        <v>297.286</v>
      </c>
      <c r="AB27" s="11">
        <v>523.245</v>
      </c>
      <c r="AC27" s="10">
        <v>548.473</v>
      </c>
      <c r="AD27" s="10">
        <f>Q27</f>
        <v>159.78</v>
      </c>
      <c r="AE27" s="10">
        <f>U27</f>
        <v>544.544</v>
      </c>
    </row>
    <row r="28" spans="1:31" s="43" customFormat="1" ht="12.75">
      <c r="A28" s="29" t="s">
        <v>154</v>
      </c>
      <c r="B28" s="40"/>
      <c r="C28" s="41"/>
      <c r="D28" s="41"/>
      <c r="E28" s="41"/>
      <c r="F28" s="41"/>
      <c r="G28" s="41"/>
      <c r="H28" s="41"/>
      <c r="I28" s="41"/>
      <c r="J28" s="59"/>
      <c r="K28" s="41"/>
      <c r="L28" s="42"/>
      <c r="M28" s="42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40"/>
      <c r="AA28" s="38">
        <v>0.07138197845602745</v>
      </c>
      <c r="AB28" s="38">
        <v>0.7600727918569996</v>
      </c>
      <c r="AC28" s="38">
        <v>0.04821450754426704</v>
      </c>
      <c r="AD28" s="38">
        <f>AD27/AC27-1</f>
        <v>-0.7086821046797198</v>
      </c>
      <c r="AE28" s="38">
        <f>AE27/AD27-1</f>
        <v>2.4080861184128173</v>
      </c>
    </row>
    <row r="29" spans="1:31" ht="12.75">
      <c r="A29" s="3"/>
      <c r="B29" s="16"/>
      <c r="C29" s="16"/>
      <c r="D29" s="16"/>
      <c r="E29" s="16"/>
      <c r="F29" s="16"/>
      <c r="G29" s="16"/>
      <c r="H29" s="17"/>
      <c r="I29" s="17"/>
      <c r="J29" s="60"/>
      <c r="K29" s="16"/>
      <c r="L29" s="16"/>
      <c r="M29" s="16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17"/>
      <c r="AA29" s="17"/>
      <c r="AB29" s="17"/>
      <c r="AC29" s="17"/>
      <c r="AD29" s="17"/>
      <c r="AE29" s="17"/>
    </row>
    <row r="30" spans="1:31" s="2" customFormat="1" ht="12.75">
      <c r="A30" s="1"/>
      <c r="B30" s="12"/>
      <c r="C30" s="12"/>
      <c r="D30" s="12"/>
      <c r="E30" s="12"/>
      <c r="F30" s="12"/>
      <c r="G30" s="12"/>
      <c r="H30" s="18"/>
      <c r="I30" s="18"/>
      <c r="J30" s="58"/>
      <c r="K30" s="12"/>
      <c r="L30" s="15"/>
      <c r="M30" s="1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15"/>
      <c r="AA30" s="15"/>
      <c r="AB30" s="15"/>
      <c r="AC30" s="15"/>
      <c r="AD30" s="15"/>
      <c r="AE30" s="15"/>
    </row>
    <row r="31" spans="1:31" s="2" customFormat="1" ht="12.75">
      <c r="A31" s="4" t="s">
        <v>149</v>
      </c>
      <c r="B31" s="8" t="s">
        <v>7</v>
      </c>
      <c r="C31" s="9" t="s">
        <v>26</v>
      </c>
      <c r="D31" s="9" t="s">
        <v>27</v>
      </c>
      <c r="E31" s="9" t="s">
        <v>28</v>
      </c>
      <c r="F31" s="8" t="s">
        <v>0</v>
      </c>
      <c r="G31" s="8" t="s">
        <v>25</v>
      </c>
      <c r="H31" s="9" t="s">
        <v>24</v>
      </c>
      <c r="I31" s="9" t="s">
        <v>153</v>
      </c>
      <c r="J31" s="63" t="s">
        <v>188</v>
      </c>
      <c r="K31" s="8" t="s">
        <v>191</v>
      </c>
      <c r="L31" s="8" t="s">
        <v>193</v>
      </c>
      <c r="M31" s="8" t="s">
        <v>196</v>
      </c>
      <c r="N31" s="9" t="s">
        <v>201</v>
      </c>
      <c r="O31" s="9" t="s">
        <v>211</v>
      </c>
      <c r="P31" s="9" t="s">
        <v>215</v>
      </c>
      <c r="Q31" s="9" t="s">
        <v>217</v>
      </c>
      <c r="R31" s="9" t="s">
        <v>219</v>
      </c>
      <c r="S31" s="9" t="s">
        <v>241</v>
      </c>
      <c r="T31" s="9" t="s">
        <v>246</v>
      </c>
      <c r="U31" s="9" t="s">
        <v>247</v>
      </c>
      <c r="V31" s="9" t="s">
        <v>251</v>
      </c>
      <c r="W31" s="9" t="s">
        <v>252</v>
      </c>
      <c r="X31" s="9" t="s">
        <v>254</v>
      </c>
      <c r="Y31" s="399"/>
      <c r="Z31" s="9">
        <v>2005</v>
      </c>
      <c r="AA31" s="9">
        <v>2006</v>
      </c>
      <c r="AB31" s="9">
        <v>2007</v>
      </c>
      <c r="AC31" s="9">
        <v>2008</v>
      </c>
      <c r="AD31" s="9">
        <v>2009</v>
      </c>
      <c r="AE31" s="9">
        <v>2010</v>
      </c>
    </row>
    <row r="32" spans="1:31" s="7" customFormat="1" ht="22.5">
      <c r="A32" s="36" t="s">
        <v>67</v>
      </c>
      <c r="B32" s="23" t="s">
        <v>156</v>
      </c>
      <c r="C32" s="23" t="s">
        <v>156</v>
      </c>
      <c r="D32" s="23" t="s">
        <v>156</v>
      </c>
      <c r="E32" s="23">
        <v>80.456</v>
      </c>
      <c r="F32" s="23" t="s">
        <v>156</v>
      </c>
      <c r="G32" s="23" t="s">
        <v>156</v>
      </c>
      <c r="H32" s="23" t="s">
        <v>156</v>
      </c>
      <c r="I32" s="24">
        <v>98.876</v>
      </c>
      <c r="J32" s="64" t="s">
        <v>156</v>
      </c>
      <c r="K32" s="23" t="s">
        <v>156</v>
      </c>
      <c r="L32" s="23" t="s">
        <v>156</v>
      </c>
      <c r="M32" s="23">
        <v>122.193</v>
      </c>
      <c r="N32" s="64" t="s">
        <v>156</v>
      </c>
      <c r="O32" s="64" t="s">
        <v>156</v>
      </c>
      <c r="P32" s="64" t="s">
        <v>156</v>
      </c>
      <c r="Q32" s="64">
        <v>79.718</v>
      </c>
      <c r="R32" s="64" t="s">
        <v>156</v>
      </c>
      <c r="S32" s="64" t="s">
        <v>156</v>
      </c>
      <c r="T32" s="64" t="s">
        <v>156</v>
      </c>
      <c r="U32" s="64">
        <v>126.241</v>
      </c>
      <c r="V32" s="64" t="s">
        <v>156</v>
      </c>
      <c r="W32" s="64" t="s">
        <v>156</v>
      </c>
      <c r="X32" s="64" t="s">
        <v>156</v>
      </c>
      <c r="Y32" s="64"/>
      <c r="Z32" s="31">
        <v>67.467</v>
      </c>
      <c r="AA32" s="23">
        <v>80.456</v>
      </c>
      <c r="AB32" s="24">
        <v>98.876</v>
      </c>
      <c r="AC32" s="24">
        <v>122.193</v>
      </c>
      <c r="AD32" s="24">
        <f>Q32</f>
        <v>79.718</v>
      </c>
      <c r="AE32" s="24">
        <f>U32</f>
        <v>126.241</v>
      </c>
    </row>
    <row r="33" spans="1:31" s="39" customFormat="1" ht="12.75">
      <c r="A33" s="29" t="s">
        <v>154</v>
      </c>
      <c r="B33" s="44"/>
      <c r="C33" s="45"/>
      <c r="D33" s="45"/>
      <c r="E33" s="45"/>
      <c r="F33" s="45"/>
      <c r="G33" s="45"/>
      <c r="H33" s="46"/>
      <c r="I33" s="46"/>
      <c r="J33" s="59"/>
      <c r="K33" s="45"/>
      <c r="L33" s="46"/>
      <c r="M33" s="4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47"/>
      <c r="AA33" s="38">
        <v>0.19252375235300234</v>
      </c>
      <c r="AB33" s="38">
        <v>0.22894501342348605</v>
      </c>
      <c r="AC33" s="38">
        <v>0.2358206238116427</v>
      </c>
      <c r="AD33" s="38">
        <f>AD32/AC32-1</f>
        <v>-0.34760583666822154</v>
      </c>
      <c r="AE33" s="38">
        <f>AE32/AD32-1</f>
        <v>0.5835946712160365</v>
      </c>
    </row>
    <row r="34" spans="1:31" s="2" customFormat="1" ht="12.75">
      <c r="A34" s="3"/>
      <c r="B34" s="16"/>
      <c r="C34" s="16"/>
      <c r="D34" s="16"/>
      <c r="E34" s="16"/>
      <c r="F34" s="16"/>
      <c r="G34" s="16"/>
      <c r="H34" s="17"/>
      <c r="I34" s="17"/>
      <c r="J34" s="60"/>
      <c r="K34" s="16"/>
      <c r="L34" s="16"/>
      <c r="M34" s="16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17"/>
      <c r="AA34" s="17"/>
      <c r="AB34" s="17"/>
      <c r="AC34" s="17"/>
      <c r="AD34" s="17"/>
      <c r="AE34" s="17"/>
    </row>
    <row r="35" spans="1:31" ht="12.75">
      <c r="A35" s="1"/>
      <c r="B35" s="15"/>
      <c r="C35" s="15"/>
      <c r="D35" s="15"/>
      <c r="E35" s="15"/>
      <c r="F35" s="15"/>
      <c r="G35" s="15"/>
      <c r="H35" s="12"/>
      <c r="I35" s="12"/>
      <c r="J35" s="57"/>
      <c r="K35" s="15"/>
      <c r="L35" s="15"/>
      <c r="M35" s="15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12"/>
      <c r="AA35" s="12"/>
      <c r="AB35" s="12"/>
      <c r="AC35" s="12"/>
      <c r="AD35" s="12"/>
      <c r="AE35" s="12"/>
    </row>
    <row r="36" spans="1:31" ht="12.75">
      <c r="A36" s="4" t="s">
        <v>4</v>
      </c>
      <c r="B36" s="8" t="s">
        <v>7</v>
      </c>
      <c r="C36" s="9" t="s">
        <v>26</v>
      </c>
      <c r="D36" s="9" t="s">
        <v>27</v>
      </c>
      <c r="E36" s="9" t="s">
        <v>28</v>
      </c>
      <c r="F36" s="8" t="s">
        <v>0</v>
      </c>
      <c r="G36" s="8" t="s">
        <v>25</v>
      </c>
      <c r="H36" s="9" t="s">
        <v>24</v>
      </c>
      <c r="I36" s="9" t="s">
        <v>153</v>
      </c>
      <c r="J36" s="63" t="s">
        <v>188</v>
      </c>
      <c r="K36" s="8" t="s">
        <v>191</v>
      </c>
      <c r="L36" s="8" t="s">
        <v>193</v>
      </c>
      <c r="M36" s="8" t="s">
        <v>196</v>
      </c>
      <c r="N36" s="9" t="s">
        <v>201</v>
      </c>
      <c r="O36" s="9" t="s">
        <v>211</v>
      </c>
      <c r="P36" s="9" t="s">
        <v>215</v>
      </c>
      <c r="Q36" s="9" t="s">
        <v>217</v>
      </c>
      <c r="R36" s="9" t="s">
        <v>219</v>
      </c>
      <c r="S36" s="9" t="s">
        <v>241</v>
      </c>
      <c r="T36" s="9" t="s">
        <v>246</v>
      </c>
      <c r="U36" s="9" t="s">
        <v>247</v>
      </c>
      <c r="V36" s="9" t="s">
        <v>251</v>
      </c>
      <c r="W36" s="9" t="s">
        <v>252</v>
      </c>
      <c r="X36" s="9" t="s">
        <v>254</v>
      </c>
      <c r="Y36" s="399"/>
      <c r="Z36" s="9">
        <v>2005</v>
      </c>
      <c r="AA36" s="9">
        <v>2006</v>
      </c>
      <c r="AB36" s="9">
        <v>2007</v>
      </c>
      <c r="AC36" s="9">
        <v>2008</v>
      </c>
      <c r="AD36" s="9">
        <v>2009</v>
      </c>
      <c r="AE36" s="9">
        <v>2010</v>
      </c>
    </row>
    <row r="37" spans="1:31" ht="12.75">
      <c r="A37" s="1" t="s">
        <v>19</v>
      </c>
      <c r="B37" s="15">
        <v>0.27240617698598135</v>
      </c>
      <c r="C37" s="15">
        <v>0.3555562653974693</v>
      </c>
      <c r="D37" s="15">
        <v>0.4532900985397127</v>
      </c>
      <c r="E37" s="15">
        <v>0.4837411074011156</v>
      </c>
      <c r="F37" s="15">
        <v>0.5768848561398295</v>
      </c>
      <c r="G37" s="15">
        <v>0.5911050174920891</v>
      </c>
      <c r="H37" s="15">
        <v>0.5946875608994089</v>
      </c>
      <c r="I37" s="15">
        <v>0.588667107679015</v>
      </c>
      <c r="J37" s="67">
        <v>0.5881556530863222</v>
      </c>
      <c r="K37" s="67">
        <v>0.5924834165400885</v>
      </c>
      <c r="L37" s="67">
        <v>0.8749098421892437</v>
      </c>
      <c r="M37" s="67">
        <v>0.587744941501229</v>
      </c>
      <c r="N37" s="71">
        <f>N27/(N23+76.67)</f>
        <v>0.2689451722900215</v>
      </c>
      <c r="O37" s="71">
        <f>O27/(O23+187.961)</f>
        <v>0.2938255335561841</v>
      </c>
      <c r="P37" s="71">
        <f>P27/(P23+306.423)</f>
        <v>0.3197445674402649</v>
      </c>
      <c r="Q37" s="71">
        <f>Q27/(Q23+430.457)</f>
        <v>0.30997916399911535</v>
      </c>
      <c r="R37" s="71">
        <f>R27/(R23+139.68)</f>
        <v>0.40823923401076107</v>
      </c>
      <c r="S37" s="71">
        <f>S27/(S23+377.106)</f>
        <v>0.544832493186368</v>
      </c>
      <c r="T37" s="71">
        <f>T27/(T23+605.038)</f>
        <v>0.5839991706456644</v>
      </c>
      <c r="U37" s="71">
        <f>U27/(U23+831.257)</f>
        <v>0.5966814263533274</v>
      </c>
      <c r="V37" s="71">
        <f>V27/(V23+274.195)</f>
        <v>0.6672737775663462</v>
      </c>
      <c r="W37" s="71">
        <f>W27/(W23+638.164)</f>
        <v>0.6893916361315199</v>
      </c>
      <c r="X37" s="71">
        <f>X27/(X23+931.007)</f>
        <v>0.6917780981029233</v>
      </c>
      <c r="Y37" s="71"/>
      <c r="Z37" s="15">
        <v>0.49974605575967146</v>
      </c>
      <c r="AA37" s="15">
        <v>0.4837411074011156</v>
      </c>
      <c r="AB37" s="15">
        <v>0.588667107679015</v>
      </c>
      <c r="AC37" s="15">
        <v>0.587744941501229</v>
      </c>
      <c r="AD37" s="15">
        <f>Q37</f>
        <v>0.30997916399911535</v>
      </c>
      <c r="AE37" s="15">
        <f>U37</f>
        <v>0.5966814263533274</v>
      </c>
    </row>
    <row r="38" spans="1:31" s="7" customFormat="1" ht="12.75">
      <c r="A38" s="20" t="s">
        <v>150</v>
      </c>
      <c r="B38" s="23" t="s">
        <v>156</v>
      </c>
      <c r="C38" s="23" t="s">
        <v>156</v>
      </c>
      <c r="D38" s="23" t="s">
        <v>156</v>
      </c>
      <c r="E38" s="25">
        <v>3.695013423486129</v>
      </c>
      <c r="F38" s="23" t="s">
        <v>156</v>
      </c>
      <c r="G38" s="23" t="s">
        <v>156</v>
      </c>
      <c r="H38" s="23" t="s">
        <v>156</v>
      </c>
      <c r="I38" s="25">
        <v>5.291931307900805</v>
      </c>
      <c r="J38" s="64" t="s">
        <v>156</v>
      </c>
      <c r="K38" s="23" t="s">
        <v>156</v>
      </c>
      <c r="L38" s="23" t="s">
        <v>156</v>
      </c>
      <c r="M38" s="25">
        <v>4.488579542199635</v>
      </c>
      <c r="N38" s="23" t="s">
        <v>156</v>
      </c>
      <c r="O38" s="23" t="s">
        <v>156</v>
      </c>
      <c r="P38" s="23" t="s">
        <v>156</v>
      </c>
      <c r="Q38" s="25">
        <f>Q27/Q32</f>
        <v>2.004315211119195</v>
      </c>
      <c r="R38" s="23" t="s">
        <v>156</v>
      </c>
      <c r="S38" s="23" t="s">
        <v>156</v>
      </c>
      <c r="T38" s="23" t="s">
        <v>156</v>
      </c>
      <c r="U38" s="25">
        <f>U27/U32</f>
        <v>4.313527300956108</v>
      </c>
      <c r="V38" s="23" t="s">
        <v>156</v>
      </c>
      <c r="W38" s="23" t="s">
        <v>156</v>
      </c>
      <c r="X38" s="23" t="s">
        <v>156</v>
      </c>
      <c r="Y38" s="23"/>
      <c r="Z38" s="25">
        <v>4.112810707456979</v>
      </c>
      <c r="AA38" s="25">
        <v>3.695013423486129</v>
      </c>
      <c r="AB38" s="25">
        <v>5.291931307900805</v>
      </c>
      <c r="AC38" s="25">
        <v>4.488579542199635</v>
      </c>
      <c r="AD38" s="25">
        <f>Q38</f>
        <v>2.004315211119195</v>
      </c>
      <c r="AE38" s="25">
        <f>U38</f>
        <v>4.313527300956108</v>
      </c>
    </row>
    <row r="39" spans="1:31" s="7" customFormat="1" ht="12.75">
      <c r="A39" s="20" t="s">
        <v>151</v>
      </c>
      <c r="B39" s="23" t="s">
        <v>156</v>
      </c>
      <c r="C39" s="23" t="s">
        <v>156</v>
      </c>
      <c r="D39" s="23" t="s">
        <v>156</v>
      </c>
      <c r="E39" s="25">
        <v>1.1206351417229612</v>
      </c>
      <c r="F39" s="23" t="s">
        <v>156</v>
      </c>
      <c r="G39" s="23" t="s">
        <v>156</v>
      </c>
      <c r="H39" s="23" t="s">
        <v>156</v>
      </c>
      <c r="I39" s="25">
        <v>1.2312405050681146</v>
      </c>
      <c r="J39" s="64" t="s">
        <v>156</v>
      </c>
      <c r="K39" s="23" t="s">
        <v>156</v>
      </c>
      <c r="L39" s="23" t="s">
        <v>156</v>
      </c>
      <c r="M39" s="25">
        <v>1.5768059462668078</v>
      </c>
      <c r="N39" s="23" t="s">
        <v>156</v>
      </c>
      <c r="O39" s="23" t="s">
        <v>156</v>
      </c>
      <c r="P39" s="23" t="s">
        <v>156</v>
      </c>
      <c r="Q39" s="25">
        <f>Q32/Q25</f>
        <v>0.9813620248178059</v>
      </c>
      <c r="R39" s="23" t="s">
        <v>156</v>
      </c>
      <c r="S39" s="23" t="s">
        <v>156</v>
      </c>
      <c r="T39" s="23" t="s">
        <v>156</v>
      </c>
      <c r="U39" s="25">
        <f>U32/U25</f>
        <v>2.2124642913475525</v>
      </c>
      <c r="V39" s="23" t="s">
        <v>156</v>
      </c>
      <c r="W39" s="23" t="s">
        <v>156</v>
      </c>
      <c r="X39" s="23" t="s">
        <v>156</v>
      </c>
      <c r="Y39" s="23"/>
      <c r="Z39" s="25">
        <v>0.9869512427039601</v>
      </c>
      <c r="AA39" s="25">
        <v>1.1206351417229612</v>
      </c>
      <c r="AB39" s="25">
        <v>1.2312405050681146</v>
      </c>
      <c r="AC39" s="25">
        <v>1.5768059462668078</v>
      </c>
      <c r="AD39" s="25">
        <f>Q39</f>
        <v>0.9813620248178059</v>
      </c>
      <c r="AE39" s="25">
        <f>U39</f>
        <v>2.2124642913475525</v>
      </c>
    </row>
    <row r="40" spans="1:31" ht="12.75">
      <c r="A40" s="1"/>
      <c r="B40" s="10"/>
      <c r="C40" s="10"/>
      <c r="D40" s="10"/>
      <c r="E40" s="10"/>
      <c r="F40" s="10"/>
      <c r="G40" s="10"/>
      <c r="H40" s="10"/>
      <c r="I40" s="10"/>
      <c r="J40" s="64"/>
      <c r="K40" s="10"/>
      <c r="L40" s="10"/>
      <c r="M40" s="10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10"/>
      <c r="AA40" s="10"/>
      <c r="AB40" s="10"/>
      <c r="AC40" s="10"/>
      <c r="AD40" s="10"/>
      <c r="AE40" s="10"/>
    </row>
    <row r="41" spans="1:31" s="21" customFormat="1" ht="12.75">
      <c r="A41" s="6" t="s">
        <v>174</v>
      </c>
      <c r="B41" s="10">
        <v>13.90606910756774</v>
      </c>
      <c r="C41" s="10">
        <v>13.771644129712746</v>
      </c>
      <c r="D41" s="10">
        <v>13.884004330194806</v>
      </c>
      <c r="E41" s="10">
        <v>13.971802603656947</v>
      </c>
      <c r="F41" s="10">
        <v>15.796646287035625</v>
      </c>
      <c r="G41" s="10">
        <v>15.762211740474243</v>
      </c>
      <c r="H41" s="10">
        <v>15.840350131931965</v>
      </c>
      <c r="I41" s="10">
        <v>16.513540364652954</v>
      </c>
      <c r="J41" s="64">
        <v>21</v>
      </c>
      <c r="K41" s="10">
        <v>21</v>
      </c>
      <c r="L41" s="10">
        <v>21.191393977131803</v>
      </c>
      <c r="M41" s="10">
        <v>20.922794960043085</v>
      </c>
      <c r="N41" s="10">
        <v>16.158639972556255</v>
      </c>
      <c r="O41" s="10">
        <v>15.138111381604853</v>
      </c>
      <c r="P41" s="10">
        <v>15</v>
      </c>
      <c r="Q41" s="10">
        <v>16</v>
      </c>
      <c r="R41" s="10">
        <v>17.28</v>
      </c>
      <c r="S41" s="10">
        <v>17.93</v>
      </c>
      <c r="T41" s="10">
        <v>17.9</v>
      </c>
      <c r="U41" s="10">
        <v>18</v>
      </c>
      <c r="V41" s="10">
        <v>22</v>
      </c>
      <c r="W41" s="10">
        <v>20</v>
      </c>
      <c r="X41" s="10">
        <v>21</v>
      </c>
      <c r="Y41" s="62"/>
      <c r="Z41" s="10">
        <v>15.230332551746116</v>
      </c>
      <c r="AA41" s="10">
        <v>13.971802603656947</v>
      </c>
      <c r="AB41" s="10">
        <v>16.513540364652954</v>
      </c>
      <c r="AC41" s="10">
        <v>20.922794960043085</v>
      </c>
      <c r="AD41" s="10">
        <f>Q41</f>
        <v>16</v>
      </c>
      <c r="AE41" s="10">
        <f>U41</f>
        <v>18</v>
      </c>
    </row>
    <row r="42" spans="1:31" s="21" customFormat="1" ht="12.75">
      <c r="A42" s="48" t="s">
        <v>175</v>
      </c>
      <c r="B42" s="26">
        <v>10.22970441912229</v>
      </c>
      <c r="C42" s="26">
        <v>14.717772895657342</v>
      </c>
      <c r="D42" s="26">
        <v>19.83143195190297</v>
      </c>
      <c r="E42" s="26">
        <v>23.489665366215814</v>
      </c>
      <c r="F42" s="26">
        <v>36.89571673697858</v>
      </c>
      <c r="G42" s="26">
        <v>38.5898452661658</v>
      </c>
      <c r="H42" s="26">
        <v>39.23387829329735</v>
      </c>
      <c r="I42" s="26">
        <v>39.21719773620568</v>
      </c>
      <c r="J42" s="68">
        <v>45.74537610599808</v>
      </c>
      <c r="K42" s="26">
        <v>47.60218127512578</v>
      </c>
      <c r="L42" s="26">
        <v>47.858963415858554</v>
      </c>
      <c r="M42" s="26">
        <v>46.126495589635795</v>
      </c>
      <c r="N42" s="78">
        <f aca="true" t="shared" si="0" ref="N42:S42">N27/N46*1000</f>
        <v>9.351404056162247</v>
      </c>
      <c r="O42" s="78">
        <f t="shared" si="0"/>
        <v>10.525618883131838</v>
      </c>
      <c r="P42" s="78">
        <f t="shared" si="0"/>
        <v>11.628790786948176</v>
      </c>
      <c r="Q42" s="78">
        <f t="shared" si="0"/>
        <v>11.518996467450075</v>
      </c>
      <c r="R42" s="78">
        <f t="shared" si="0"/>
        <v>18.77371352202846</v>
      </c>
      <c r="S42" s="78">
        <f t="shared" si="0"/>
        <v>33.39142645971914</v>
      </c>
      <c r="T42" s="78">
        <f>T27/T46*1000</f>
        <v>37.6534922018793</v>
      </c>
      <c r="U42" s="78">
        <f>U27/U46*1000</f>
        <v>39.37953458248926</v>
      </c>
      <c r="V42" s="78">
        <f>V27/V46*1000</f>
        <v>59.544570575037625</v>
      </c>
      <c r="W42" s="78">
        <f>W27/W46*1000</f>
        <v>66.45235161494782</v>
      </c>
      <c r="X42" s="78">
        <f>X27/X46*1000</f>
        <v>67.42555113841705</v>
      </c>
      <c r="Y42" s="23"/>
      <c r="Z42" s="26">
        <v>23.263500156132533</v>
      </c>
      <c r="AA42" s="26">
        <v>23.489665366215814</v>
      </c>
      <c r="AB42" s="26">
        <v>39.21719773620568</v>
      </c>
      <c r="AC42" s="26">
        <v>46.126495589635795</v>
      </c>
      <c r="AD42" s="26">
        <f>Q42</f>
        <v>11.518996467450075</v>
      </c>
      <c r="AE42" s="26">
        <f>U42</f>
        <v>39.37953458248926</v>
      </c>
    </row>
    <row r="43" spans="1:31" s="21" customFormat="1" ht="12.75">
      <c r="A43" s="35"/>
      <c r="B43" s="16"/>
      <c r="C43" s="16"/>
      <c r="D43" s="16"/>
      <c r="E43" s="16"/>
      <c r="F43" s="16"/>
      <c r="G43" s="16"/>
      <c r="H43" s="16"/>
      <c r="I43" s="16"/>
      <c r="J43" s="60"/>
      <c r="K43" s="16"/>
      <c r="L43" s="16"/>
      <c r="M43" s="1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3"/>
      <c r="Z43" s="16"/>
      <c r="AA43" s="16"/>
      <c r="AB43" s="16"/>
      <c r="AC43" s="16"/>
      <c r="AD43" s="16"/>
      <c r="AE43" s="16"/>
    </row>
    <row r="44" spans="12:25" ht="12.75">
      <c r="L44" s="21"/>
      <c r="M44" s="21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2:25" ht="12.75">
      <c r="L45" s="21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31" s="21" customFormat="1" ht="12.75" outlineLevel="1">
      <c r="A46" s="48" t="s">
        <v>187</v>
      </c>
      <c r="B46" s="26">
        <v>2917.67961</v>
      </c>
      <c r="C46" s="26">
        <v>6050.37193</v>
      </c>
      <c r="D46" s="26">
        <v>9241.238879999999</v>
      </c>
      <c r="E46" s="26">
        <v>12656.03385</v>
      </c>
      <c r="F46" s="26">
        <v>3367.0846100000003</v>
      </c>
      <c r="G46" s="26">
        <v>6602.695560000001</v>
      </c>
      <c r="H46" s="26">
        <v>9800.203720000001</v>
      </c>
      <c r="I46" s="26">
        <v>13342.233259999999</v>
      </c>
      <c r="J46" s="68">
        <v>4773</v>
      </c>
      <c r="K46" s="68">
        <v>6629.15</v>
      </c>
      <c r="L46" s="68">
        <v>9910.223</v>
      </c>
      <c r="M46" s="68">
        <v>11890.628</v>
      </c>
      <c r="N46" s="26">
        <v>2564</v>
      </c>
      <c r="O46" s="26">
        <v>6948</v>
      </c>
      <c r="P46" s="26">
        <v>10420</v>
      </c>
      <c r="Q46" s="26">
        <v>13871</v>
      </c>
      <c r="R46" s="26">
        <v>3318.0436000000004</v>
      </c>
      <c r="S46" s="26">
        <v>6765</v>
      </c>
      <c r="T46" s="26">
        <v>10323</v>
      </c>
      <c r="U46" s="26">
        <v>13828.09639</v>
      </c>
      <c r="V46" s="26">
        <v>3297.89934</v>
      </c>
      <c r="W46" s="26">
        <v>7199.8054</v>
      </c>
      <c r="X46" s="26">
        <v>11068</v>
      </c>
      <c r="Y46" s="10"/>
      <c r="Z46" s="26">
        <v>11927.654830000001</v>
      </c>
      <c r="AA46" s="26">
        <v>12656.03385</v>
      </c>
      <c r="AB46" s="26">
        <v>13342.233259999999</v>
      </c>
      <c r="AC46" s="68">
        <v>11890.628</v>
      </c>
      <c r="AD46" s="26">
        <f>Q46</f>
        <v>13871</v>
      </c>
      <c r="AE46" s="26">
        <f>U46</f>
        <v>13828.09639</v>
      </c>
    </row>
    <row r="47" spans="14:25" ht="12.75"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4" ht="12.75">
      <c r="A48" s="37" t="s">
        <v>222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t="12.75">
      <c r="A49" s="37" t="s">
        <v>221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AD6:AD8 AD15:AD18 AD24:AD27 AE6:AE9 AD9 AE15:AE18 AE24:AE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43"/>
  <sheetViews>
    <sheetView showGridLines="0" view="pageBreakPreview" zoomScale="90" zoomScaleSheetLayoutView="90" zoomScalePageLayoutView="0" workbookViewId="0" topLeftCell="A1">
      <selection activeCell="U36" sqref="U36"/>
    </sheetView>
  </sheetViews>
  <sheetFormatPr defaultColWidth="9.140625" defaultRowHeight="12.75" outlineLevelRow="1" outlineLevelCol="1"/>
  <cols>
    <col min="1" max="1" width="35.140625" style="81" customWidth="1"/>
    <col min="2" max="9" width="8.7109375" style="81" hidden="1" customWidth="1" outlineLevel="1"/>
    <col min="10" max="10" width="8.7109375" style="82" hidden="1" customWidth="1" outlineLevel="1"/>
    <col min="11" max="12" width="8.7109375" style="81" hidden="1" customWidth="1" outlineLevel="1"/>
    <col min="13" max="13" width="8.7109375" style="81" customWidth="1" collapsed="1"/>
    <col min="14" max="23" width="8.7109375" style="82" customWidth="1"/>
    <col min="24" max="24" width="7.8515625" style="83" customWidth="1"/>
    <col min="25" max="16384" width="9.140625" style="81" customWidth="1"/>
  </cols>
  <sheetData>
    <row r="1" ht="15">
      <c r="A1" s="81" t="s">
        <v>223</v>
      </c>
    </row>
    <row r="3" spans="1:30" ht="12.75">
      <c r="A3" s="84" t="s">
        <v>224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8"/>
      <c r="Y3" s="86">
        <v>2005</v>
      </c>
      <c r="Z3" s="86">
        <v>2006</v>
      </c>
      <c r="AA3" s="86">
        <v>2007</v>
      </c>
      <c r="AB3" s="86">
        <v>2008</v>
      </c>
      <c r="AC3" s="86">
        <v>2009</v>
      </c>
      <c r="AD3" s="86">
        <v>2010</v>
      </c>
    </row>
    <row r="4" spans="1:30" ht="12.75">
      <c r="A4" s="89" t="s">
        <v>182</v>
      </c>
      <c r="B4" s="90" t="s">
        <v>161</v>
      </c>
      <c r="C4" s="90">
        <v>366.30419</v>
      </c>
      <c r="D4" s="90">
        <v>833.0838200000001</v>
      </c>
      <c r="E4" s="90">
        <v>1558.43468</v>
      </c>
      <c r="F4" s="90">
        <v>670.54003</v>
      </c>
      <c r="G4" s="90">
        <v>1533.6255199999998</v>
      </c>
      <c r="H4" s="90">
        <v>2163.41455</v>
      </c>
      <c r="I4" s="90">
        <v>2751.6794099999997</v>
      </c>
      <c r="J4" s="91">
        <v>639.9833700000003</v>
      </c>
      <c r="K4" s="90">
        <v>1118.6626</v>
      </c>
      <c r="L4" s="90">
        <v>1629</v>
      </c>
      <c r="M4" s="90">
        <v>2076.021</v>
      </c>
      <c r="N4" s="91">
        <v>261.23877999999996</v>
      </c>
      <c r="O4" s="91">
        <v>533.1726100000001</v>
      </c>
      <c r="P4" s="91">
        <v>803</v>
      </c>
      <c r="Q4" s="91">
        <v>1012</v>
      </c>
      <c r="R4" s="91">
        <v>305.4674900000002</v>
      </c>
      <c r="S4" s="91">
        <v>556</v>
      </c>
      <c r="T4" s="91">
        <v>700</v>
      </c>
      <c r="U4" s="91">
        <v>1018</v>
      </c>
      <c r="V4" s="91">
        <v>331.01908000000003</v>
      </c>
      <c r="W4" s="91">
        <v>692.1044330000002</v>
      </c>
      <c r="X4" s="91"/>
      <c r="Y4" s="90" t="s">
        <v>161</v>
      </c>
      <c r="Z4" s="90">
        <v>1558.43468</v>
      </c>
      <c r="AA4" s="90">
        <v>2751.6794099999997</v>
      </c>
      <c r="AB4" s="90">
        <v>2076.021</v>
      </c>
      <c r="AC4" s="90">
        <f>Q4</f>
        <v>1012</v>
      </c>
      <c r="AD4" s="90">
        <f>U4</f>
        <v>1018</v>
      </c>
    </row>
    <row r="5" spans="1:30" s="98" customFormat="1" ht="12.75">
      <c r="A5" s="92" t="s">
        <v>154</v>
      </c>
      <c r="B5" s="93"/>
      <c r="C5" s="94"/>
      <c r="D5" s="94"/>
      <c r="E5" s="94"/>
      <c r="F5" s="94"/>
      <c r="G5" s="94"/>
      <c r="H5" s="95"/>
      <c r="I5" s="95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  <c r="AA5" s="97">
        <v>0.7656687478232964</v>
      </c>
      <c r="AB5" s="97">
        <v>-0.2455440148821696</v>
      </c>
      <c r="AC5" s="97">
        <f>AC4/AB4-1</f>
        <v>-0.5125290158432887</v>
      </c>
      <c r="AD5" s="97">
        <f>AD4/AC4-1</f>
        <v>0.005928853754940677</v>
      </c>
    </row>
    <row r="6" spans="1:30" ht="12.75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0"/>
      <c r="L6" s="100"/>
      <c r="M6" s="10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0"/>
      <c r="Z6" s="100"/>
      <c r="AA6" s="100"/>
      <c r="AB6" s="100"/>
      <c r="AC6" s="100"/>
      <c r="AD6" s="100"/>
    </row>
    <row r="7" spans="1:30" ht="12.75">
      <c r="A7" s="103"/>
      <c r="B7" s="104"/>
      <c r="C7" s="104"/>
      <c r="D7" s="104"/>
      <c r="E7" s="104"/>
      <c r="F7" s="104"/>
      <c r="G7" s="104"/>
      <c r="H7" s="104"/>
      <c r="I7" s="104"/>
      <c r="J7" s="102"/>
      <c r="K7" s="104"/>
      <c r="L7" s="104"/>
      <c r="M7" s="104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4"/>
      <c r="Z7" s="104"/>
      <c r="AA7" s="104"/>
      <c r="AB7" s="104"/>
      <c r="AC7" s="104"/>
      <c r="AD7" s="104"/>
    </row>
    <row r="8" spans="1:30" ht="12.75">
      <c r="A8" s="105" t="s">
        <v>225</v>
      </c>
      <c r="B8" s="85" t="s">
        <v>7</v>
      </c>
      <c r="C8" s="86" t="s">
        <v>26</v>
      </c>
      <c r="D8" s="86" t="s">
        <v>27</v>
      </c>
      <c r="E8" s="86" t="s">
        <v>28</v>
      </c>
      <c r="F8" s="85" t="s">
        <v>0</v>
      </c>
      <c r="G8" s="85" t="s">
        <v>25</v>
      </c>
      <c r="H8" s="86" t="s">
        <v>24</v>
      </c>
      <c r="I8" s="86" t="s">
        <v>153</v>
      </c>
      <c r="J8" s="87" t="s">
        <v>188</v>
      </c>
      <c r="K8" s="85" t="s">
        <v>191</v>
      </c>
      <c r="L8" s="85" t="s">
        <v>193</v>
      </c>
      <c r="M8" s="85" t="s">
        <v>196</v>
      </c>
      <c r="N8" s="86" t="s">
        <v>201</v>
      </c>
      <c r="O8" s="86" t="s">
        <v>211</v>
      </c>
      <c r="P8" s="86" t="s">
        <v>215</v>
      </c>
      <c r="Q8" s="86" t="s">
        <v>217</v>
      </c>
      <c r="R8" s="86" t="s">
        <v>219</v>
      </c>
      <c r="S8" s="86" t="s">
        <v>241</v>
      </c>
      <c r="T8" s="86" t="s">
        <v>246</v>
      </c>
      <c r="U8" s="86" t="s">
        <v>247</v>
      </c>
      <c r="V8" s="86" t="s">
        <v>251</v>
      </c>
      <c r="W8" s="86" t="s">
        <v>252</v>
      </c>
      <c r="X8" s="88"/>
      <c r="Y8" s="86">
        <v>2005</v>
      </c>
      <c r="Z8" s="86">
        <v>2006</v>
      </c>
      <c r="AA8" s="86">
        <v>2007</v>
      </c>
      <c r="AB8" s="86">
        <v>2008</v>
      </c>
      <c r="AC8" s="86">
        <v>2009</v>
      </c>
      <c r="AD8" s="86">
        <v>2010</v>
      </c>
    </row>
    <row r="9" spans="1:30" ht="12.75">
      <c r="A9" s="103" t="s">
        <v>158</v>
      </c>
      <c r="B9" s="90" t="s">
        <v>161</v>
      </c>
      <c r="C9" s="106">
        <v>115.30495743860492</v>
      </c>
      <c r="D9" s="106">
        <v>125.60775663834856</v>
      </c>
      <c r="E9" s="106">
        <v>133.64232735674105</v>
      </c>
      <c r="F9" s="106">
        <v>142.35949962868668</v>
      </c>
      <c r="G9" s="106">
        <v>133.52067381761816</v>
      </c>
      <c r="H9" s="107">
        <v>150.2227042424276</v>
      </c>
      <c r="I9" s="107">
        <v>171.62941805259453</v>
      </c>
      <c r="J9" s="108">
        <v>265.95090483743974</v>
      </c>
      <c r="K9" s="106">
        <v>281.02859144025325</v>
      </c>
      <c r="L9" s="106">
        <v>336.7335135158109</v>
      </c>
      <c r="M9" s="108">
        <v>301.1471156980672</v>
      </c>
      <c r="N9" s="108">
        <v>140.3358781760867</v>
      </c>
      <c r="O9" s="108">
        <v>148.85902894934412</v>
      </c>
      <c r="P9" s="108">
        <v>161.43385932890754</v>
      </c>
      <c r="Q9" s="108">
        <v>173.77129691767237</v>
      </c>
      <c r="R9" s="108">
        <v>231.13440085417793</v>
      </c>
      <c r="S9" s="108">
        <v>271.7757421759514</v>
      </c>
      <c r="T9" s="108">
        <v>276.4147219286739</v>
      </c>
      <c r="U9" s="108">
        <v>290.9233424426812</v>
      </c>
      <c r="V9" s="108">
        <v>363.5952869348548</v>
      </c>
      <c r="W9" s="108">
        <v>371.02248072724586</v>
      </c>
      <c r="X9" s="108"/>
      <c r="Y9" s="90" t="s">
        <v>161</v>
      </c>
      <c r="Z9" s="106">
        <v>133.64232735674105</v>
      </c>
      <c r="AA9" s="107">
        <v>171.62941805259453</v>
      </c>
      <c r="AB9" s="107">
        <v>301.1471156980672</v>
      </c>
      <c r="AC9" s="107">
        <f>Q9</f>
        <v>173.77129691767237</v>
      </c>
      <c r="AD9" s="107">
        <f>U9</f>
        <v>290.9233424426812</v>
      </c>
    </row>
    <row r="10" spans="1:30" s="98" customFormat="1" ht="12.75">
      <c r="A10" s="92" t="s">
        <v>154</v>
      </c>
      <c r="B10" s="93"/>
      <c r="C10" s="93"/>
      <c r="D10" s="93"/>
      <c r="E10" s="93"/>
      <c r="F10" s="93"/>
      <c r="G10" s="93"/>
      <c r="H10" s="95"/>
      <c r="I10" s="95"/>
      <c r="J10" s="109"/>
      <c r="K10" s="93"/>
      <c r="L10" s="97"/>
      <c r="M10" s="97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97"/>
      <c r="Z10" s="97"/>
      <c r="AA10" s="97">
        <v>0.28424445643221863</v>
      </c>
      <c r="AB10" s="97">
        <v>0.7546357676618289</v>
      </c>
      <c r="AC10" s="97">
        <f>AC9/AB9-1</f>
        <v>-0.422968748962228</v>
      </c>
      <c r="AD10" s="97">
        <f>AD9/AC9-1</f>
        <v>0.6741737421716543</v>
      </c>
    </row>
    <row r="11" spans="1:30" ht="12.75">
      <c r="A11" s="99"/>
      <c r="B11" s="110"/>
      <c r="C11" s="110"/>
      <c r="D11" s="110"/>
      <c r="E11" s="110"/>
      <c r="F11" s="110"/>
      <c r="G11" s="110"/>
      <c r="H11" s="111"/>
      <c r="I11" s="112"/>
      <c r="J11" s="113"/>
      <c r="K11" s="110"/>
      <c r="L11" s="100"/>
      <c r="M11" s="100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00"/>
      <c r="Z11" s="100"/>
      <c r="AA11" s="100"/>
      <c r="AB11" s="100"/>
      <c r="AC11" s="100"/>
      <c r="AD11" s="100"/>
    </row>
    <row r="12" spans="1:30" ht="12.75">
      <c r="A12" s="103"/>
      <c r="B12" s="115"/>
      <c r="C12" s="115"/>
      <c r="D12" s="115"/>
      <c r="E12" s="115"/>
      <c r="F12" s="115"/>
      <c r="G12" s="115"/>
      <c r="H12" s="116"/>
      <c r="I12" s="116"/>
      <c r="J12" s="114"/>
      <c r="K12" s="115"/>
      <c r="L12" s="104"/>
      <c r="M12" s="10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04"/>
      <c r="Z12" s="104"/>
      <c r="AA12" s="104"/>
      <c r="AB12" s="104"/>
      <c r="AC12" s="104"/>
      <c r="AD12" s="104"/>
    </row>
    <row r="13" spans="1:30" ht="12.75">
      <c r="A13" s="84" t="s">
        <v>1</v>
      </c>
      <c r="B13" s="85" t="s">
        <v>7</v>
      </c>
      <c r="C13" s="86" t="s">
        <v>26</v>
      </c>
      <c r="D13" s="86" t="s">
        <v>27</v>
      </c>
      <c r="E13" s="86" t="s">
        <v>28</v>
      </c>
      <c r="F13" s="85" t="s">
        <v>0</v>
      </c>
      <c r="G13" s="85" t="s">
        <v>25</v>
      </c>
      <c r="H13" s="86" t="s">
        <v>24</v>
      </c>
      <c r="I13" s="86" t="s">
        <v>153</v>
      </c>
      <c r="J13" s="87" t="s">
        <v>188</v>
      </c>
      <c r="K13" s="85" t="s">
        <v>191</v>
      </c>
      <c r="L13" s="85" t="s">
        <v>193</v>
      </c>
      <c r="M13" s="85" t="s">
        <v>196</v>
      </c>
      <c r="N13" s="86" t="s">
        <v>201</v>
      </c>
      <c r="O13" s="86" t="s">
        <v>211</v>
      </c>
      <c r="P13" s="86" t="s">
        <v>215</v>
      </c>
      <c r="Q13" s="86" t="s">
        <v>217</v>
      </c>
      <c r="R13" s="86" t="s">
        <v>219</v>
      </c>
      <c r="S13" s="86" t="s">
        <v>241</v>
      </c>
      <c r="T13" s="86" t="s">
        <v>246</v>
      </c>
      <c r="U13" s="86" t="s">
        <v>247</v>
      </c>
      <c r="V13" s="86" t="s">
        <v>251</v>
      </c>
      <c r="W13" s="86" t="s">
        <v>252</v>
      </c>
      <c r="X13" s="88"/>
      <c r="Y13" s="86">
        <v>2005</v>
      </c>
      <c r="Z13" s="86">
        <v>2006</v>
      </c>
      <c r="AA13" s="86">
        <v>2007</v>
      </c>
      <c r="AB13" s="86">
        <v>2008</v>
      </c>
      <c r="AC13" s="86">
        <v>2009</v>
      </c>
      <c r="AD13" s="86">
        <v>2010</v>
      </c>
    </row>
    <row r="14" spans="1:30" ht="12.75">
      <c r="A14" s="89" t="s">
        <v>38</v>
      </c>
      <c r="B14" s="90" t="s">
        <v>161</v>
      </c>
      <c r="C14" s="106">
        <v>51.598</v>
      </c>
      <c r="D14" s="106">
        <v>130.18</v>
      </c>
      <c r="E14" s="106">
        <v>252.699</v>
      </c>
      <c r="F14" s="106">
        <v>105.439</v>
      </c>
      <c r="G14" s="106">
        <v>243.152</v>
      </c>
      <c r="H14" s="107">
        <v>358.493</v>
      </c>
      <c r="I14" s="107">
        <v>517.308</v>
      </c>
      <c r="J14" s="108">
        <v>184.28</v>
      </c>
      <c r="K14" s="106">
        <v>346.089</v>
      </c>
      <c r="L14" s="106">
        <v>599.467</v>
      </c>
      <c r="M14" s="106">
        <v>731.816</v>
      </c>
      <c r="N14" s="108">
        <v>37.957</v>
      </c>
      <c r="O14" s="108">
        <v>73.261</v>
      </c>
      <c r="P14" s="108">
        <v>125.87</v>
      </c>
      <c r="Q14" s="108">
        <v>171.963</v>
      </c>
      <c r="R14" s="108">
        <v>50.304</v>
      </c>
      <c r="S14" s="108">
        <v>106.136</v>
      </c>
      <c r="T14" s="108">
        <v>153.467</v>
      </c>
      <c r="U14" s="108">
        <v>242.8</v>
      </c>
      <c r="V14" s="108">
        <v>70.351</v>
      </c>
      <c r="W14" s="108">
        <v>160.39</v>
      </c>
      <c r="X14" s="108"/>
      <c r="Y14" s="90" t="s">
        <v>161</v>
      </c>
      <c r="Z14" s="106">
        <v>252.699</v>
      </c>
      <c r="AA14" s="107">
        <v>517.308</v>
      </c>
      <c r="AB14" s="106">
        <v>731.816</v>
      </c>
      <c r="AC14" s="106">
        <f>Q14</f>
        <v>171.963</v>
      </c>
      <c r="AD14" s="106">
        <f>U14</f>
        <v>242.8</v>
      </c>
    </row>
    <row r="15" spans="1:30" s="98" customFormat="1" ht="12.75">
      <c r="A15" s="92" t="s">
        <v>154</v>
      </c>
      <c r="B15" s="93"/>
      <c r="C15" s="94"/>
      <c r="D15" s="94"/>
      <c r="E15" s="94"/>
      <c r="F15" s="94"/>
      <c r="G15" s="94"/>
      <c r="H15" s="94"/>
      <c r="I15" s="94"/>
      <c r="J15" s="96"/>
      <c r="K15" s="94"/>
      <c r="L15" s="95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3"/>
      <c r="Z15" s="97"/>
      <c r="AA15" s="97">
        <v>1.0471311718685077</v>
      </c>
      <c r="AB15" s="97">
        <v>0.4146620581935714</v>
      </c>
      <c r="AC15" s="97">
        <f>AC14/AB14-1</f>
        <v>-0.7650188025405293</v>
      </c>
      <c r="AD15" s="97">
        <f>AD14/AC14-1</f>
        <v>0.41193163645667985</v>
      </c>
    </row>
    <row r="16" spans="1:30" ht="12.75">
      <c r="A16" s="103" t="s">
        <v>155</v>
      </c>
      <c r="B16" s="90" t="s">
        <v>161</v>
      </c>
      <c r="C16" s="106" t="s">
        <v>156</v>
      </c>
      <c r="D16" s="106" t="s">
        <v>156</v>
      </c>
      <c r="E16" s="106">
        <v>19.603</v>
      </c>
      <c r="F16" s="106" t="s">
        <v>156</v>
      </c>
      <c r="G16" s="106" t="s">
        <v>156</v>
      </c>
      <c r="H16" s="107" t="s">
        <v>156</v>
      </c>
      <c r="I16" s="107">
        <v>40.46</v>
      </c>
      <c r="J16" s="108" t="s">
        <v>156</v>
      </c>
      <c r="K16" s="106" t="s">
        <v>156</v>
      </c>
      <c r="L16" s="106" t="s">
        <v>156</v>
      </c>
      <c r="M16" s="106">
        <v>40.353</v>
      </c>
      <c r="N16" s="108" t="s">
        <v>156</v>
      </c>
      <c r="O16" s="108" t="s">
        <v>156</v>
      </c>
      <c r="P16" s="108" t="s">
        <v>156</v>
      </c>
      <c r="Q16" s="108">
        <v>30.475</v>
      </c>
      <c r="R16" s="108" t="s">
        <v>156</v>
      </c>
      <c r="S16" s="108" t="s">
        <v>156</v>
      </c>
      <c r="T16" s="108" t="s">
        <v>156</v>
      </c>
      <c r="U16" s="108">
        <v>29.442</v>
      </c>
      <c r="V16" s="108" t="s">
        <v>156</v>
      </c>
      <c r="W16" s="108" t="s">
        <v>156</v>
      </c>
      <c r="X16" s="108"/>
      <c r="Y16" s="90" t="s">
        <v>161</v>
      </c>
      <c r="Z16" s="106">
        <v>19.603</v>
      </c>
      <c r="AA16" s="106">
        <v>40.46</v>
      </c>
      <c r="AB16" s="106">
        <v>40.353</v>
      </c>
      <c r="AC16" s="106">
        <f>Q16</f>
        <v>30.475</v>
      </c>
      <c r="AD16" s="106">
        <f>U16</f>
        <v>29.442</v>
      </c>
    </row>
    <row r="17" spans="1:30" s="98" customFormat="1" ht="12.75">
      <c r="A17" s="92" t="s">
        <v>154</v>
      </c>
      <c r="B17" s="93"/>
      <c r="C17" s="94"/>
      <c r="D17" s="94"/>
      <c r="E17" s="94"/>
      <c r="F17" s="94"/>
      <c r="G17" s="94"/>
      <c r="H17" s="94"/>
      <c r="I17" s="94"/>
      <c r="J17" s="96"/>
      <c r="K17" s="94"/>
      <c r="L17" s="95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3"/>
      <c r="Z17" s="97"/>
      <c r="AA17" s="97">
        <v>1.0639698005407334</v>
      </c>
      <c r="AB17" s="97">
        <v>-0.002644587246663388</v>
      </c>
      <c r="AC17" s="97">
        <f>AC16/AB16-1</f>
        <v>-0.24478973062721487</v>
      </c>
      <c r="AD17" s="97">
        <f>AD16/AC16-1</f>
        <v>-0.033896636587366746</v>
      </c>
    </row>
    <row r="18" spans="1:30" ht="12.75">
      <c r="A18" s="103" t="s">
        <v>3</v>
      </c>
      <c r="B18" s="90" t="s">
        <v>161</v>
      </c>
      <c r="C18" s="117">
        <v>3.685</v>
      </c>
      <c r="D18" s="117">
        <v>15.92</v>
      </c>
      <c r="E18" s="117">
        <v>23.883</v>
      </c>
      <c r="F18" s="117">
        <v>3.169</v>
      </c>
      <c r="G18" s="117">
        <v>8.502</v>
      </c>
      <c r="H18" s="117">
        <v>32.067</v>
      </c>
      <c r="I18" s="117">
        <v>113.563</v>
      </c>
      <c r="J18" s="118">
        <v>39.13</v>
      </c>
      <c r="K18" s="117">
        <v>74.263</v>
      </c>
      <c r="L18" s="106">
        <v>162.162</v>
      </c>
      <c r="M18" s="106">
        <v>88.364</v>
      </c>
      <c r="N18" s="118">
        <v>-3.415</v>
      </c>
      <c r="O18" s="118">
        <v>5.831</v>
      </c>
      <c r="P18" s="118">
        <v>31.124</v>
      </c>
      <c r="Q18" s="118">
        <v>60.394</v>
      </c>
      <c r="R18" s="118">
        <v>26.398</v>
      </c>
      <c r="S18" s="118">
        <v>122.253</v>
      </c>
      <c r="T18" s="118">
        <v>175.405</v>
      </c>
      <c r="U18" s="118">
        <v>224.861</v>
      </c>
      <c r="V18" s="118">
        <v>52.942</v>
      </c>
      <c r="W18" s="118">
        <v>101.006</v>
      </c>
      <c r="X18" s="118"/>
      <c r="Y18" s="90" t="s">
        <v>161</v>
      </c>
      <c r="Z18" s="117">
        <v>23.883</v>
      </c>
      <c r="AA18" s="117">
        <v>113.563</v>
      </c>
      <c r="AB18" s="106">
        <v>88.364</v>
      </c>
      <c r="AC18" s="106">
        <f>Q18</f>
        <v>60.394</v>
      </c>
      <c r="AD18" s="106">
        <f>U18</f>
        <v>224.861</v>
      </c>
    </row>
    <row r="19" spans="1:30" s="98" customFormat="1" ht="12.75">
      <c r="A19" s="92" t="s">
        <v>154</v>
      </c>
      <c r="B19" s="93"/>
      <c r="C19" s="94"/>
      <c r="D19" s="94"/>
      <c r="E19" s="94"/>
      <c r="F19" s="94"/>
      <c r="G19" s="94"/>
      <c r="H19" s="94"/>
      <c r="I19" s="94"/>
      <c r="J19" s="119"/>
      <c r="K19" s="94"/>
      <c r="L19" s="95"/>
      <c r="M19" s="95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93"/>
      <c r="Z19" s="94"/>
      <c r="AA19" s="97">
        <v>3.7549721559268106</v>
      </c>
      <c r="AB19" s="97">
        <v>-0.2218944550601868</v>
      </c>
      <c r="AC19" s="97">
        <f>AC18/AB18-1</f>
        <v>-0.31653161921144357</v>
      </c>
      <c r="AD19" s="97">
        <f>AD18/AC18-1</f>
        <v>2.723234096102262</v>
      </c>
    </row>
    <row r="20" spans="1:30" ht="12.75">
      <c r="A20" s="120"/>
      <c r="B20" s="112"/>
      <c r="C20" s="112"/>
      <c r="D20" s="112"/>
      <c r="E20" s="112"/>
      <c r="F20" s="112"/>
      <c r="G20" s="112"/>
      <c r="H20" s="121"/>
      <c r="I20" s="121"/>
      <c r="J20" s="122"/>
      <c r="K20" s="112"/>
      <c r="L20" s="112"/>
      <c r="M20" s="11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121"/>
      <c r="Z20" s="121"/>
      <c r="AA20" s="121"/>
      <c r="AB20" s="121"/>
      <c r="AC20" s="121"/>
      <c r="AD20" s="121"/>
    </row>
    <row r="21" spans="1:30" s="124" customFormat="1" ht="12.75">
      <c r="A21" s="103"/>
      <c r="B21" s="115"/>
      <c r="C21" s="115"/>
      <c r="D21" s="115"/>
      <c r="E21" s="115"/>
      <c r="F21" s="115"/>
      <c r="G21" s="115"/>
      <c r="H21" s="116"/>
      <c r="I21" s="116"/>
      <c r="J21" s="114"/>
      <c r="K21" s="115"/>
      <c r="L21" s="104"/>
      <c r="M21" s="10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04"/>
      <c r="Z21" s="104"/>
      <c r="AA21" s="104"/>
      <c r="AB21" s="104"/>
      <c r="AC21" s="104"/>
      <c r="AD21" s="104"/>
    </row>
    <row r="22" spans="1:30" s="124" customFormat="1" ht="12.75">
      <c r="A22" s="84" t="s">
        <v>149</v>
      </c>
      <c r="B22" s="85" t="s">
        <v>7</v>
      </c>
      <c r="C22" s="86" t="s">
        <v>26</v>
      </c>
      <c r="D22" s="86" t="s">
        <v>27</v>
      </c>
      <c r="E22" s="86" t="s">
        <v>28</v>
      </c>
      <c r="F22" s="85" t="s">
        <v>0</v>
      </c>
      <c r="G22" s="85" t="s">
        <v>25</v>
      </c>
      <c r="H22" s="86" t="s">
        <v>24</v>
      </c>
      <c r="I22" s="86" t="s">
        <v>153</v>
      </c>
      <c r="J22" s="87" t="s">
        <v>188</v>
      </c>
      <c r="K22" s="85" t="s">
        <v>191</v>
      </c>
      <c r="L22" s="85" t="s">
        <v>193</v>
      </c>
      <c r="M22" s="85" t="s">
        <v>196</v>
      </c>
      <c r="N22" s="86" t="s">
        <v>201</v>
      </c>
      <c r="O22" s="86" t="s">
        <v>211</v>
      </c>
      <c r="P22" s="86" t="s">
        <v>215</v>
      </c>
      <c r="Q22" s="86" t="s">
        <v>217</v>
      </c>
      <c r="R22" s="86" t="s">
        <v>219</v>
      </c>
      <c r="S22" s="86" t="s">
        <v>241</v>
      </c>
      <c r="T22" s="86" t="s">
        <v>246</v>
      </c>
      <c r="U22" s="86" t="s">
        <v>247</v>
      </c>
      <c r="V22" s="86" t="s">
        <v>251</v>
      </c>
      <c r="W22" s="86" t="s">
        <v>252</v>
      </c>
      <c r="X22" s="88"/>
      <c r="Y22" s="86">
        <v>2005</v>
      </c>
      <c r="Z22" s="86">
        <v>2006</v>
      </c>
      <c r="AA22" s="86">
        <v>2007</v>
      </c>
      <c r="AB22" s="86">
        <v>2008</v>
      </c>
      <c r="AC22" s="86">
        <v>2009</v>
      </c>
      <c r="AD22" s="86">
        <v>2010</v>
      </c>
    </row>
    <row r="23" spans="1:30" ht="22.5">
      <c r="A23" s="125" t="s">
        <v>67</v>
      </c>
      <c r="B23" s="90" t="s">
        <v>161</v>
      </c>
      <c r="C23" s="106" t="s">
        <v>156</v>
      </c>
      <c r="D23" s="106" t="s">
        <v>156</v>
      </c>
      <c r="E23" s="108">
        <v>25.936</v>
      </c>
      <c r="F23" s="106" t="s">
        <v>156</v>
      </c>
      <c r="G23" s="106" t="s">
        <v>156</v>
      </c>
      <c r="H23" s="107" t="s">
        <v>156</v>
      </c>
      <c r="I23" s="126">
        <v>8.86</v>
      </c>
      <c r="J23" s="108" t="s">
        <v>156</v>
      </c>
      <c r="K23" s="106" t="s">
        <v>156</v>
      </c>
      <c r="L23" s="106" t="s">
        <v>156</v>
      </c>
      <c r="M23" s="106">
        <v>8.595</v>
      </c>
      <c r="N23" s="108" t="s">
        <v>156</v>
      </c>
      <c r="O23" s="108" t="s">
        <v>156</v>
      </c>
      <c r="P23" s="108" t="s">
        <v>156</v>
      </c>
      <c r="Q23" s="108">
        <v>2.322</v>
      </c>
      <c r="R23" s="108" t="s">
        <v>156</v>
      </c>
      <c r="S23" s="108" t="s">
        <v>156</v>
      </c>
      <c r="T23" s="108" t="s">
        <v>156</v>
      </c>
      <c r="U23" s="108">
        <v>8.039</v>
      </c>
      <c r="V23" s="108" t="s">
        <v>156</v>
      </c>
      <c r="W23" s="108" t="s">
        <v>156</v>
      </c>
      <c r="X23" s="108"/>
      <c r="Y23" s="90" t="s">
        <v>161</v>
      </c>
      <c r="Z23" s="108">
        <v>25.936</v>
      </c>
      <c r="AA23" s="108">
        <v>8.86</v>
      </c>
      <c r="AB23" s="108">
        <v>8.595</v>
      </c>
      <c r="AC23" s="108">
        <f>Q23</f>
        <v>2.322</v>
      </c>
      <c r="AD23" s="108">
        <f>U23</f>
        <v>8.039</v>
      </c>
    </row>
    <row r="24" spans="1:30" s="131" customFormat="1" ht="12.75">
      <c r="A24" s="92" t="s">
        <v>154</v>
      </c>
      <c r="B24" s="127"/>
      <c r="C24" s="128"/>
      <c r="D24" s="128"/>
      <c r="E24" s="128"/>
      <c r="F24" s="128"/>
      <c r="G24" s="128"/>
      <c r="H24" s="129"/>
      <c r="I24" s="129"/>
      <c r="J24" s="119"/>
      <c r="K24" s="128"/>
      <c r="L24" s="129"/>
      <c r="M24" s="12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30"/>
      <c r="Z24" s="97"/>
      <c r="AA24" s="97">
        <v>-0.6583898827884023</v>
      </c>
      <c r="AB24" s="97">
        <v>-0.029909706546275228</v>
      </c>
      <c r="AC24" s="97">
        <f>AC23/AB23-1</f>
        <v>-0.7298429319371729</v>
      </c>
      <c r="AD24" s="97">
        <f>AD23/AC23-1</f>
        <v>2.462101636520241</v>
      </c>
    </row>
    <row r="25" spans="1:30" s="124" customFormat="1" ht="12.75">
      <c r="A25" s="120"/>
      <c r="B25" s="112"/>
      <c r="C25" s="112"/>
      <c r="D25" s="112"/>
      <c r="E25" s="112"/>
      <c r="F25" s="112"/>
      <c r="G25" s="112"/>
      <c r="H25" s="121"/>
      <c r="I25" s="121"/>
      <c r="J25" s="122"/>
      <c r="K25" s="112"/>
      <c r="L25" s="112"/>
      <c r="M25" s="11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  <c r="Y25" s="121"/>
      <c r="Z25" s="121"/>
      <c r="AA25" s="121"/>
      <c r="AB25" s="121"/>
      <c r="AC25" s="121"/>
      <c r="AD25" s="121"/>
    </row>
    <row r="26" spans="1:30" ht="12.75">
      <c r="A26" s="103"/>
      <c r="B26" s="104"/>
      <c r="C26" s="104"/>
      <c r="D26" s="104"/>
      <c r="E26" s="104"/>
      <c r="F26" s="104"/>
      <c r="G26" s="104"/>
      <c r="H26" s="115"/>
      <c r="I26" s="115"/>
      <c r="J26" s="132"/>
      <c r="K26" s="104"/>
      <c r="L26" s="104"/>
      <c r="M26" s="104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15"/>
      <c r="Z26" s="115"/>
      <c r="AA26" s="115"/>
      <c r="AB26" s="115"/>
      <c r="AC26" s="115"/>
      <c r="AD26" s="115"/>
    </row>
    <row r="27" spans="1:30" ht="12.75">
      <c r="A27" s="84" t="s">
        <v>4</v>
      </c>
      <c r="B27" s="85" t="s">
        <v>7</v>
      </c>
      <c r="C27" s="86" t="s">
        <v>26</v>
      </c>
      <c r="D27" s="86" t="s">
        <v>27</v>
      </c>
      <c r="E27" s="86" t="s">
        <v>28</v>
      </c>
      <c r="F27" s="85" t="s">
        <v>0</v>
      </c>
      <c r="G27" s="85" t="s">
        <v>25</v>
      </c>
      <c r="H27" s="86" t="s">
        <v>24</v>
      </c>
      <c r="I27" s="86" t="s">
        <v>153</v>
      </c>
      <c r="J27" s="87" t="s">
        <v>188</v>
      </c>
      <c r="K27" s="85" t="s">
        <v>191</v>
      </c>
      <c r="L27" s="85" t="s">
        <v>193</v>
      </c>
      <c r="M27" s="85" t="s">
        <v>196</v>
      </c>
      <c r="N27" s="86" t="s">
        <v>201</v>
      </c>
      <c r="O27" s="86" t="s">
        <v>211</v>
      </c>
      <c r="P27" s="86" t="s">
        <v>215</v>
      </c>
      <c r="Q27" s="86" t="s">
        <v>217</v>
      </c>
      <c r="R27" s="86" t="s">
        <v>219</v>
      </c>
      <c r="S27" s="86" t="s">
        <v>241</v>
      </c>
      <c r="T27" s="86" t="s">
        <v>246</v>
      </c>
      <c r="U27" s="86" t="s">
        <v>247</v>
      </c>
      <c r="V27" s="86" t="s">
        <v>251</v>
      </c>
      <c r="W27" s="86" t="s">
        <v>252</v>
      </c>
      <c r="X27" s="88"/>
      <c r="Y27" s="86">
        <v>2005</v>
      </c>
      <c r="Z27" s="86">
        <v>2006</v>
      </c>
      <c r="AA27" s="86">
        <v>2007</v>
      </c>
      <c r="AB27" s="86">
        <v>2008</v>
      </c>
      <c r="AC27" s="86">
        <v>2009</v>
      </c>
      <c r="AD27" s="86">
        <v>2010</v>
      </c>
    </row>
    <row r="28" spans="1:30" ht="12.75">
      <c r="A28" s="89" t="s">
        <v>19</v>
      </c>
      <c r="B28" s="90" t="s">
        <v>161</v>
      </c>
      <c r="C28" s="102">
        <v>0.04453602765222015</v>
      </c>
      <c r="D28" s="102">
        <v>0.08308023087119433</v>
      </c>
      <c r="E28" s="102">
        <v>0.07099457203498154</v>
      </c>
      <c r="F28" s="102">
        <v>0.024005757139610635</v>
      </c>
      <c r="G28" s="102">
        <v>0.029317241379310344</v>
      </c>
      <c r="H28" s="102">
        <v>0.07068042055147788</v>
      </c>
      <c r="I28" s="102">
        <v>0.16585416435427242</v>
      </c>
      <c r="J28" s="102">
        <v>0.15077836004932185</v>
      </c>
      <c r="K28" s="102">
        <v>0.13043378987413806</v>
      </c>
      <c r="L28" s="102">
        <v>0.19710185090649204</v>
      </c>
      <c r="M28" s="102">
        <v>0.0770236534545759</v>
      </c>
      <c r="N28" s="133">
        <f>N18/(N14+43.073)</f>
        <v>-0.042144884610638034</v>
      </c>
      <c r="O28" s="133">
        <f>O18/(O14+121.77)</f>
        <v>0.029897811117207008</v>
      </c>
      <c r="P28" s="133">
        <f>P18/(P14+205.503)</f>
        <v>0.0939243692153555</v>
      </c>
      <c r="Q28" s="133">
        <f>Q18/(Q14+330.286)</f>
        <v>0.1202471284163831</v>
      </c>
      <c r="R28" s="133">
        <f>R18/(R14+143.606)</f>
        <v>0.1361353205095147</v>
      </c>
      <c r="S28" s="133">
        <f>S18/(S14+370.416)</f>
        <v>0.2565365374607598</v>
      </c>
      <c r="T28" s="133">
        <f>T18/(T14+571.02)</f>
        <v>0.24210924419623817</v>
      </c>
      <c r="U28" s="133">
        <f>U18/(U14+762.945)</f>
        <v>0.22357655270471138</v>
      </c>
      <c r="V28" s="133">
        <f>V18/(V14+236.729)</f>
        <v>0.17240458512439752</v>
      </c>
      <c r="W28" s="133">
        <f>W18/(W14+514.028)</f>
        <v>0.1497676515158255</v>
      </c>
      <c r="X28" s="133"/>
      <c r="Y28" s="134" t="s">
        <v>161</v>
      </c>
      <c r="Z28" s="102">
        <v>0.07099457203498154</v>
      </c>
      <c r="AA28" s="102">
        <v>0.16585416435427242</v>
      </c>
      <c r="AB28" s="102">
        <v>0.07702365345457589</v>
      </c>
      <c r="AC28" s="102">
        <f>Q28</f>
        <v>0.1202471284163831</v>
      </c>
      <c r="AD28" s="102">
        <f>U28</f>
        <v>0.22357655270471138</v>
      </c>
    </row>
    <row r="29" spans="1:30" ht="12.75">
      <c r="A29" s="89" t="s">
        <v>150</v>
      </c>
      <c r="B29" s="90" t="s">
        <v>161</v>
      </c>
      <c r="C29" s="108" t="s">
        <v>156</v>
      </c>
      <c r="D29" s="108" t="s">
        <v>156</v>
      </c>
      <c r="E29" s="135">
        <v>0.9208436150524367</v>
      </c>
      <c r="F29" s="108" t="s">
        <v>156</v>
      </c>
      <c r="G29" s="108" t="s">
        <v>156</v>
      </c>
      <c r="H29" s="108" t="s">
        <v>156</v>
      </c>
      <c r="I29" s="135">
        <v>12.817494356659143</v>
      </c>
      <c r="J29" s="108" t="s">
        <v>156</v>
      </c>
      <c r="K29" s="108" t="s">
        <v>156</v>
      </c>
      <c r="L29" s="108" t="s">
        <v>156</v>
      </c>
      <c r="M29" s="135">
        <v>10.28086096567772</v>
      </c>
      <c r="N29" s="108" t="s">
        <v>156</v>
      </c>
      <c r="O29" s="108" t="s">
        <v>156</v>
      </c>
      <c r="P29" s="108" t="s">
        <v>156</v>
      </c>
      <c r="Q29" s="108">
        <f>Q18/Q23</f>
        <v>26.00947459086994</v>
      </c>
      <c r="R29" s="108" t="s">
        <v>156</v>
      </c>
      <c r="S29" s="108" t="s">
        <v>156</v>
      </c>
      <c r="T29" s="108" t="s">
        <v>156</v>
      </c>
      <c r="U29" s="108">
        <f>U18/U23</f>
        <v>27.971265082721732</v>
      </c>
      <c r="V29" s="108" t="s">
        <v>156</v>
      </c>
      <c r="W29" s="108" t="s">
        <v>156</v>
      </c>
      <c r="X29" s="108"/>
      <c r="Y29" s="90" t="s">
        <v>161</v>
      </c>
      <c r="Z29" s="135">
        <v>0.9208436150524367</v>
      </c>
      <c r="AA29" s="135">
        <v>12.817494356659143</v>
      </c>
      <c r="AB29" s="135">
        <v>10.28086096567772</v>
      </c>
      <c r="AC29" s="135">
        <f>Q29</f>
        <v>26.00947459086994</v>
      </c>
      <c r="AD29" s="135">
        <f>U29</f>
        <v>27.971265082721732</v>
      </c>
    </row>
    <row r="30" spans="1:30" ht="12.75">
      <c r="A30" s="89" t="s">
        <v>151</v>
      </c>
      <c r="B30" s="90" t="s">
        <v>161</v>
      </c>
      <c r="C30" s="108" t="s">
        <v>156</v>
      </c>
      <c r="D30" s="108" t="s">
        <v>156</v>
      </c>
      <c r="E30" s="135">
        <v>1.323062796510738</v>
      </c>
      <c r="F30" s="108" t="s">
        <v>156</v>
      </c>
      <c r="G30" s="108" t="s">
        <v>156</v>
      </c>
      <c r="H30" s="108" t="s">
        <v>156</v>
      </c>
      <c r="I30" s="135">
        <v>0.2189817103311913</v>
      </c>
      <c r="J30" s="108" t="s">
        <v>156</v>
      </c>
      <c r="K30" s="108" t="s">
        <v>156</v>
      </c>
      <c r="L30" s="108" t="s">
        <v>156</v>
      </c>
      <c r="M30" s="135">
        <v>0.2129953163333581</v>
      </c>
      <c r="N30" s="108" t="s">
        <v>156</v>
      </c>
      <c r="O30" s="108" t="s">
        <v>156</v>
      </c>
      <c r="P30" s="108" t="s">
        <v>156</v>
      </c>
      <c r="Q30" s="135">
        <f>Q23/Q16</f>
        <v>0.07619360131255128</v>
      </c>
      <c r="R30" s="108" t="s">
        <v>156</v>
      </c>
      <c r="S30" s="108" t="s">
        <v>156</v>
      </c>
      <c r="T30" s="108" t="s">
        <v>156</v>
      </c>
      <c r="U30" s="108">
        <f>U23/U16</f>
        <v>0.27304530942191424</v>
      </c>
      <c r="V30" s="108" t="s">
        <v>156</v>
      </c>
      <c r="W30" s="108" t="s">
        <v>156</v>
      </c>
      <c r="X30" s="108"/>
      <c r="Y30" s="90" t="s">
        <v>161</v>
      </c>
      <c r="Z30" s="135">
        <v>1.323062796510738</v>
      </c>
      <c r="AA30" s="135">
        <v>0.2189817103311913</v>
      </c>
      <c r="AB30" s="135">
        <v>0.2129953163333581</v>
      </c>
      <c r="AC30" s="135">
        <f>Q30</f>
        <v>0.07619360131255128</v>
      </c>
      <c r="AD30" s="135">
        <f>U30</f>
        <v>0.27304530942191424</v>
      </c>
    </row>
    <row r="31" spans="1:30" ht="12.75">
      <c r="A31" s="103"/>
      <c r="B31" s="106"/>
      <c r="C31" s="106"/>
      <c r="D31" s="106"/>
      <c r="E31" s="106"/>
      <c r="F31" s="106"/>
      <c r="G31" s="106"/>
      <c r="H31" s="106"/>
      <c r="I31" s="106"/>
      <c r="J31" s="108"/>
      <c r="K31" s="106"/>
      <c r="L31" s="106"/>
      <c r="M31" s="106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6"/>
      <c r="Z31" s="106"/>
      <c r="AA31" s="106"/>
      <c r="AB31" s="106"/>
      <c r="AC31" s="106"/>
      <c r="AD31" s="106"/>
    </row>
    <row r="32" spans="1:30" s="137" customFormat="1" ht="12.75">
      <c r="A32" s="136" t="s">
        <v>159</v>
      </c>
      <c r="B32" s="106" t="s">
        <v>161</v>
      </c>
      <c r="C32" s="106">
        <v>99.0772807819033</v>
      </c>
      <c r="D32" s="106">
        <v>98.41911233214658</v>
      </c>
      <c r="E32" s="106">
        <v>100.6588516054043</v>
      </c>
      <c r="F32" s="106">
        <v>108.35646316719975</v>
      </c>
      <c r="G32" s="106">
        <v>108.38025161689622</v>
      </c>
      <c r="H32" s="106">
        <v>109.41080209350008</v>
      </c>
      <c r="I32" s="106">
        <v>113.32635726132833</v>
      </c>
      <c r="J32" s="108">
        <v>196.015</v>
      </c>
      <c r="K32" s="106">
        <v>211.8</v>
      </c>
      <c r="L32" s="106">
        <v>247.66497380590454</v>
      </c>
      <c r="M32" s="106">
        <v>248.89946140354823</v>
      </c>
      <c r="N32" s="108">
        <v>154.95139684908432</v>
      </c>
      <c r="O32" s="108">
        <v>128.9412320038826</v>
      </c>
      <c r="P32" s="108">
        <v>120</v>
      </c>
      <c r="Q32" s="108">
        <v>120.8</v>
      </c>
      <c r="R32" s="108">
        <v>165</v>
      </c>
      <c r="S32" s="108">
        <v>188</v>
      </c>
      <c r="T32" s="108">
        <v>200</v>
      </c>
      <c r="U32" s="108">
        <v>214</v>
      </c>
      <c r="V32" s="108">
        <v>268</v>
      </c>
      <c r="W32" s="108">
        <v>284.28473279535575</v>
      </c>
      <c r="X32" s="108"/>
      <c r="Y32" s="106" t="s">
        <v>161</v>
      </c>
      <c r="Z32" s="106">
        <v>100.6588516054043</v>
      </c>
      <c r="AA32" s="106">
        <v>113.32635726132833</v>
      </c>
      <c r="AB32" s="106">
        <v>248.89946140354823</v>
      </c>
      <c r="AC32" s="106">
        <f>Q32</f>
        <v>120.8</v>
      </c>
      <c r="AD32" s="106">
        <f>U32</f>
        <v>214</v>
      </c>
    </row>
    <row r="33" spans="1:30" ht="12.75">
      <c r="A33" s="103" t="s">
        <v>160</v>
      </c>
      <c r="B33" s="90" t="s">
        <v>161</v>
      </c>
      <c r="C33" s="106">
        <v>6.1489171623386385</v>
      </c>
      <c r="D33" s="106">
        <v>12.034968568812348</v>
      </c>
      <c r="E33" s="106">
        <v>10.785578441979277</v>
      </c>
      <c r="F33" s="106">
        <v>3.8104376870251255</v>
      </c>
      <c r="G33" s="106">
        <v>4.703961817507052</v>
      </c>
      <c r="H33" s="106">
        <v>11.95239068369833</v>
      </c>
      <c r="I33" s="106">
        <v>32.38858078514126</v>
      </c>
      <c r="J33" s="108">
        <v>45.26145633622796</v>
      </c>
      <c r="K33" s="106">
        <v>40.67311315857282</v>
      </c>
      <c r="L33" s="106">
        <v>60.10452186805041</v>
      </c>
      <c r="M33" s="108">
        <f aca="true" t="shared" si="0" ref="M33:R33">M18/M40*1000</f>
        <v>27.193542113415756</v>
      </c>
      <c r="N33" s="108">
        <f t="shared" si="0"/>
        <v>-6.197551406420414</v>
      </c>
      <c r="O33" s="108">
        <f t="shared" si="0"/>
        <v>4.222435314441666</v>
      </c>
      <c r="P33" s="108">
        <f t="shared" si="0"/>
        <v>13.78542597360457</v>
      </c>
      <c r="Q33" s="108">
        <f t="shared" si="0"/>
        <v>19.846679357644415</v>
      </c>
      <c r="R33" s="108">
        <f t="shared" si="0"/>
        <v>31.377793964451964</v>
      </c>
      <c r="S33" s="108">
        <f>S18/S40*1000</f>
        <v>72.4816022640598</v>
      </c>
      <c r="T33" s="108">
        <f>T18/T40*1000</f>
        <v>70.24745009415476</v>
      </c>
      <c r="U33" s="108">
        <f>U18/U40*1000</f>
        <v>66.85668920635398</v>
      </c>
      <c r="V33" s="108">
        <f>V18/V40*1000</f>
        <v>62.4291175781489</v>
      </c>
      <c r="W33" s="108">
        <f>W18/W40*1000</f>
        <v>57.048769928527115</v>
      </c>
      <c r="X33" s="108"/>
      <c r="Y33" s="106" t="s">
        <v>161</v>
      </c>
      <c r="Z33" s="106">
        <v>10.785578441979277</v>
      </c>
      <c r="AA33" s="106">
        <v>32.38858078514126</v>
      </c>
      <c r="AB33" s="106">
        <v>27.193542113415756</v>
      </c>
      <c r="AC33" s="106">
        <f>Q33</f>
        <v>19.846679357644415</v>
      </c>
      <c r="AD33" s="106">
        <f>U33</f>
        <v>66.85668920635398</v>
      </c>
    </row>
    <row r="34" spans="1:30" ht="12.75">
      <c r="A34" s="120"/>
      <c r="B34" s="112"/>
      <c r="C34" s="112"/>
      <c r="D34" s="112"/>
      <c r="E34" s="112"/>
      <c r="F34" s="112"/>
      <c r="G34" s="112"/>
      <c r="H34" s="121"/>
      <c r="I34" s="121"/>
      <c r="J34" s="122"/>
      <c r="K34" s="112"/>
      <c r="L34" s="112"/>
      <c r="M34" s="11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  <c r="Y34" s="121"/>
      <c r="Z34" s="121"/>
      <c r="AA34" s="121"/>
      <c r="AB34" s="121"/>
      <c r="AC34" s="121"/>
      <c r="AD34" s="121"/>
    </row>
    <row r="35" spans="12:13" ht="12.75">
      <c r="L35" s="137"/>
      <c r="M35" s="137"/>
    </row>
    <row r="36" spans="1:13" ht="12.75">
      <c r="A36" s="138" t="s">
        <v>226</v>
      </c>
      <c r="J36" s="81"/>
      <c r="L36" s="137"/>
      <c r="M36" s="137"/>
    </row>
    <row r="37" spans="1:13" ht="12.75">
      <c r="A37" s="138" t="s">
        <v>227</v>
      </c>
      <c r="J37" s="81"/>
      <c r="L37" s="137"/>
      <c r="M37" s="137"/>
    </row>
    <row r="38" spans="1:13" ht="12.75">
      <c r="A38" s="138" t="s">
        <v>228</v>
      </c>
      <c r="J38" s="81"/>
      <c r="L38" s="137"/>
      <c r="M38" s="137"/>
    </row>
    <row r="39" spans="12:13" ht="12.75">
      <c r="L39" s="137"/>
      <c r="M39" s="137"/>
    </row>
    <row r="40" spans="1:30" ht="12.75" outlineLevel="1">
      <c r="A40" s="103" t="s">
        <v>186</v>
      </c>
      <c r="B40" s="90"/>
      <c r="C40" s="106">
        <v>599.29251</v>
      </c>
      <c r="D40" s="106">
        <v>1322.81193</v>
      </c>
      <c r="E40" s="106">
        <v>2214.34577</v>
      </c>
      <c r="F40" s="106">
        <v>831.66299</v>
      </c>
      <c r="G40" s="106">
        <v>1807.4126299999998</v>
      </c>
      <c r="H40" s="106">
        <v>2682.89423</v>
      </c>
      <c r="I40" s="106">
        <v>3506.26663</v>
      </c>
      <c r="J40" s="106">
        <v>864.5325</v>
      </c>
      <c r="K40" s="106">
        <v>1825.8499100000004</v>
      </c>
      <c r="L40" s="106">
        <v>2698</v>
      </c>
      <c r="M40" s="106">
        <v>3249.447962</v>
      </c>
      <c r="N40" s="106">
        <v>551.0240699999999</v>
      </c>
      <c r="O40" s="106">
        <v>1380.95662</v>
      </c>
      <c r="P40" s="106">
        <v>2257.7466999999997</v>
      </c>
      <c r="Q40" s="106">
        <v>3043.0279499999997</v>
      </c>
      <c r="R40" s="106">
        <v>841.2956000000001</v>
      </c>
      <c r="S40" s="106">
        <v>1686.6762899999999</v>
      </c>
      <c r="T40" s="106">
        <v>2496.958961</v>
      </c>
      <c r="U40" s="106">
        <v>3363.3283770000007</v>
      </c>
      <c r="V40" s="106">
        <v>848.0337710000001</v>
      </c>
      <c r="W40" s="106">
        <v>1770.5202080000004</v>
      </c>
      <c r="X40" s="89"/>
      <c r="Y40" s="106"/>
      <c r="Z40" s="106">
        <v>2214.34577</v>
      </c>
      <c r="AA40" s="106">
        <v>3506.26663</v>
      </c>
      <c r="AB40" s="106">
        <v>3249.447962</v>
      </c>
      <c r="AC40" s="106">
        <v>3043.0279499999997</v>
      </c>
      <c r="AD40" s="106">
        <f>U40</f>
        <v>3363.3283770000007</v>
      </c>
    </row>
    <row r="42" ht="12.75">
      <c r="A42" s="139"/>
    </row>
    <row r="43" ht="12.75">
      <c r="A43" s="1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AC15:AC17 AD15:AD17 AC18:AD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view="pageBreakPreview" zoomScale="85" zoomScaleSheetLayoutView="85" zoomScalePageLayoutView="0" workbookViewId="0" topLeftCell="A1">
      <selection activeCell="W13" sqref="W13:X13"/>
    </sheetView>
  </sheetViews>
  <sheetFormatPr defaultColWidth="9.140625" defaultRowHeight="12.75" outlineLevelCol="1"/>
  <cols>
    <col min="1" max="1" width="27.57421875" style="81" customWidth="1"/>
    <col min="2" max="12" width="9.00390625" style="81" hidden="1" customWidth="1" outlineLevel="1"/>
    <col min="13" max="13" width="9.00390625" style="81" customWidth="1" collapsed="1"/>
    <col min="14" max="24" width="9.00390625" style="81" customWidth="1"/>
    <col min="25" max="25" width="9.00390625" style="140" customWidth="1"/>
    <col min="26" max="16384" width="9.140625" style="81" customWidth="1"/>
  </cols>
  <sheetData>
    <row r="1" spans="1:13" ht="12.75">
      <c r="A1" s="81" t="s">
        <v>35</v>
      </c>
      <c r="L1" s="137"/>
      <c r="M1" s="137"/>
    </row>
    <row r="2" spans="1:29" ht="12.75">
      <c r="A2" s="103"/>
      <c r="B2" s="115"/>
      <c r="C2" s="115"/>
      <c r="D2" s="115"/>
      <c r="E2" s="115"/>
      <c r="F2" s="115"/>
      <c r="G2" s="115"/>
      <c r="H2" s="116"/>
      <c r="I2" s="116"/>
      <c r="J2" s="133"/>
      <c r="K2" s="115"/>
      <c r="L2" s="104"/>
      <c r="M2" s="104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04"/>
      <c r="AA2" s="104"/>
      <c r="AB2" s="104"/>
      <c r="AC2" s="104"/>
    </row>
    <row r="3" spans="1:31" ht="12.75">
      <c r="A3" s="84" t="s">
        <v>1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6" t="s">
        <v>254</v>
      </c>
      <c r="Y3" s="88"/>
      <c r="Z3" s="86">
        <v>2005</v>
      </c>
      <c r="AA3" s="86">
        <v>2006</v>
      </c>
      <c r="AB3" s="86">
        <v>2007</v>
      </c>
      <c r="AC3" s="86">
        <v>2008</v>
      </c>
      <c r="AD3" s="86">
        <v>2009</v>
      </c>
      <c r="AE3" s="86">
        <v>2010</v>
      </c>
    </row>
    <row r="4" spans="1:31" ht="12.75">
      <c r="A4" s="89" t="s">
        <v>38</v>
      </c>
      <c r="B4" s="90">
        <v>21.777</v>
      </c>
      <c r="C4" s="106">
        <v>51.497</v>
      </c>
      <c r="D4" s="106">
        <v>92.993</v>
      </c>
      <c r="E4" s="106">
        <v>115.203</v>
      </c>
      <c r="F4" s="106">
        <v>22.855</v>
      </c>
      <c r="G4" s="106">
        <v>44.457</v>
      </c>
      <c r="H4" s="107">
        <v>66.298</v>
      </c>
      <c r="I4" s="107">
        <v>87.999</v>
      </c>
      <c r="J4" s="108">
        <v>20.14</v>
      </c>
      <c r="K4" s="106">
        <v>41.41</v>
      </c>
      <c r="L4" s="106">
        <v>62.722</v>
      </c>
      <c r="M4" s="106">
        <v>82.834</v>
      </c>
      <c r="N4" s="108">
        <v>4.125</v>
      </c>
      <c r="O4" s="108">
        <v>4.427</v>
      </c>
      <c r="P4" s="108">
        <v>4.882</v>
      </c>
      <c r="Q4" s="108">
        <v>5.272</v>
      </c>
      <c r="R4" s="135">
        <v>0.357</v>
      </c>
      <c r="S4" s="135">
        <v>0.855</v>
      </c>
      <c r="T4" s="135">
        <v>0.862</v>
      </c>
      <c r="U4" s="135">
        <v>1.175</v>
      </c>
      <c r="V4" s="135">
        <v>0</v>
      </c>
      <c r="W4" s="135">
        <v>0.471</v>
      </c>
      <c r="X4" s="401">
        <v>0.698</v>
      </c>
      <c r="Y4" s="108"/>
      <c r="Z4" s="90">
        <v>85.909</v>
      </c>
      <c r="AA4" s="106">
        <v>115.203</v>
      </c>
      <c r="AB4" s="107">
        <v>87.999</v>
      </c>
      <c r="AC4" s="106">
        <v>82.834</v>
      </c>
      <c r="AD4" s="106">
        <f>Q4</f>
        <v>5.272</v>
      </c>
      <c r="AE4" s="106">
        <f>U4</f>
        <v>1.175</v>
      </c>
    </row>
    <row r="5" spans="1:31" s="98" customFormat="1" ht="12.75">
      <c r="A5" s="92" t="s">
        <v>154</v>
      </c>
      <c r="B5" s="93"/>
      <c r="C5" s="94"/>
      <c r="D5" s="94"/>
      <c r="E5" s="97"/>
      <c r="F5" s="94"/>
      <c r="G5" s="94"/>
      <c r="H5" s="94"/>
      <c r="I5" s="97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3"/>
      <c r="AA5" s="97">
        <v>0.3409887206229847</v>
      </c>
      <c r="AB5" s="97">
        <v>-0.23613968386239947</v>
      </c>
      <c r="AC5" s="97">
        <v>-0.0586938487937362</v>
      </c>
      <c r="AD5" s="97">
        <f>AD4/AC4-1</f>
        <v>-0.936354636984813</v>
      </c>
      <c r="AE5" s="97">
        <f>AE4/AD4-1</f>
        <v>-0.7771244309559939</v>
      </c>
    </row>
    <row r="6" spans="1:31" ht="12.75">
      <c r="A6" s="103" t="s">
        <v>155</v>
      </c>
      <c r="B6" s="108" t="s">
        <v>156</v>
      </c>
      <c r="C6" s="108" t="s">
        <v>156</v>
      </c>
      <c r="D6" s="108" t="s">
        <v>156</v>
      </c>
      <c r="E6" s="106">
        <v>42.487</v>
      </c>
      <c r="F6" s="108" t="s">
        <v>156</v>
      </c>
      <c r="G6" s="108" t="s">
        <v>156</v>
      </c>
      <c r="H6" s="108" t="s">
        <v>156</v>
      </c>
      <c r="I6" s="106">
        <v>17.421</v>
      </c>
      <c r="J6" s="108" t="s">
        <v>156</v>
      </c>
      <c r="K6" s="108" t="s">
        <v>156</v>
      </c>
      <c r="L6" s="108" t="s">
        <v>156</v>
      </c>
      <c r="M6" s="108">
        <v>14.697</v>
      </c>
      <c r="N6" s="108" t="s">
        <v>156</v>
      </c>
      <c r="O6" s="108" t="s">
        <v>156</v>
      </c>
      <c r="P6" s="108"/>
      <c r="Q6" s="108">
        <v>0.8</v>
      </c>
      <c r="R6" s="108" t="s">
        <v>156</v>
      </c>
      <c r="S6" s="108" t="s">
        <v>156</v>
      </c>
      <c r="T6" s="108" t="s">
        <v>156</v>
      </c>
      <c r="U6" s="108">
        <v>0.072</v>
      </c>
      <c r="V6" s="108" t="s">
        <v>156</v>
      </c>
      <c r="W6" s="108" t="s">
        <v>156</v>
      </c>
      <c r="X6" s="108" t="s">
        <v>156</v>
      </c>
      <c r="Y6" s="108"/>
      <c r="Z6" s="90">
        <v>17.094</v>
      </c>
      <c r="AA6" s="106">
        <v>42.487</v>
      </c>
      <c r="AB6" s="106">
        <v>17.421</v>
      </c>
      <c r="AC6" s="108">
        <v>14.697</v>
      </c>
      <c r="AD6" s="108">
        <f>Q6</f>
        <v>0.8</v>
      </c>
      <c r="AE6" s="108">
        <f>U6</f>
        <v>0.072</v>
      </c>
    </row>
    <row r="7" spans="1:31" s="98" customFormat="1" ht="12.75">
      <c r="A7" s="92" t="s">
        <v>154</v>
      </c>
      <c r="B7" s="93"/>
      <c r="C7" s="94"/>
      <c r="D7" s="94"/>
      <c r="E7" s="97"/>
      <c r="F7" s="94"/>
      <c r="G7" s="94"/>
      <c r="H7" s="94"/>
      <c r="I7" s="97"/>
      <c r="J7" s="96"/>
      <c r="K7" s="94"/>
      <c r="L7" s="95"/>
      <c r="M7" s="95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3"/>
      <c r="AA7" s="97">
        <v>1.4854919854919855</v>
      </c>
      <c r="AB7" s="97">
        <v>-0.5899686963071058</v>
      </c>
      <c r="AC7" s="97">
        <v>-0.15636301016015153</v>
      </c>
      <c r="AD7" s="97">
        <f>AD6/AC6-1</f>
        <v>-0.9455671225420154</v>
      </c>
      <c r="AE7" s="97">
        <f>AE6/AD6-1</f>
        <v>-0.91</v>
      </c>
    </row>
    <row r="8" spans="1:31" ht="12.75">
      <c r="A8" s="103" t="s">
        <v>3</v>
      </c>
      <c r="B8" s="90">
        <v>9.935</v>
      </c>
      <c r="C8" s="117">
        <v>-2.766</v>
      </c>
      <c r="D8" s="117">
        <v>-11.349</v>
      </c>
      <c r="E8" s="117">
        <v>-174.713</v>
      </c>
      <c r="F8" s="117">
        <v>-17.58</v>
      </c>
      <c r="G8" s="117">
        <v>-11.464</v>
      </c>
      <c r="H8" s="117">
        <v>-5.622</v>
      </c>
      <c r="I8" s="117">
        <v>4.744</v>
      </c>
      <c r="J8" s="118">
        <v>11.163</v>
      </c>
      <c r="K8" s="117">
        <v>20.697</v>
      </c>
      <c r="L8" s="106">
        <v>25.827</v>
      </c>
      <c r="M8" s="106">
        <v>31.278</v>
      </c>
      <c r="N8" s="118">
        <v>1.757</v>
      </c>
      <c r="O8" s="118">
        <v>1.656</v>
      </c>
      <c r="P8" s="118">
        <v>1.68</v>
      </c>
      <c r="Q8" s="118">
        <v>1.41</v>
      </c>
      <c r="R8" s="141">
        <v>-0.139</v>
      </c>
      <c r="S8" s="141">
        <v>-0.294</v>
      </c>
      <c r="T8" s="141">
        <f>-0.598</f>
        <v>-0.598</v>
      </c>
      <c r="U8" s="141">
        <v>-0.914</v>
      </c>
      <c r="V8" s="141">
        <v>-0.334</v>
      </c>
      <c r="W8" s="141">
        <v>-0.575</v>
      </c>
      <c r="X8" s="141">
        <v>-0.78</v>
      </c>
      <c r="Y8" s="118"/>
      <c r="Z8" s="90">
        <v>32.44</v>
      </c>
      <c r="AA8" s="117">
        <v>-174.713</v>
      </c>
      <c r="AB8" s="117">
        <v>4.744</v>
      </c>
      <c r="AC8" s="106">
        <v>31.278</v>
      </c>
      <c r="AD8" s="106">
        <f>Q8</f>
        <v>1.41</v>
      </c>
      <c r="AE8" s="106">
        <f>U8</f>
        <v>-0.914</v>
      </c>
    </row>
    <row r="9" spans="1:31" s="98" customFormat="1" ht="12.75">
      <c r="A9" s="92" t="s">
        <v>154</v>
      </c>
      <c r="B9" s="93"/>
      <c r="C9" s="94"/>
      <c r="D9" s="94"/>
      <c r="E9" s="97"/>
      <c r="F9" s="94"/>
      <c r="G9" s="94"/>
      <c r="H9" s="94"/>
      <c r="I9" s="97"/>
      <c r="J9" s="96"/>
      <c r="K9" s="94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3"/>
      <c r="AA9" s="97">
        <v>-6.3857274969173865</v>
      </c>
      <c r="AB9" s="97">
        <v>-1.027153102516699</v>
      </c>
      <c r="AC9" s="97">
        <v>5.593170320404722</v>
      </c>
      <c r="AD9" s="97">
        <f>AD8/AC8-1</f>
        <v>-0.9549203913293689</v>
      </c>
      <c r="AE9" s="97">
        <f>AE8/AD8-1</f>
        <v>-1.6482269503546099</v>
      </c>
    </row>
    <row r="10" spans="1:31" ht="12.75">
      <c r="A10" s="120"/>
      <c r="B10" s="112"/>
      <c r="C10" s="112"/>
      <c r="D10" s="112"/>
      <c r="E10" s="112"/>
      <c r="F10" s="112"/>
      <c r="G10" s="112"/>
      <c r="H10" s="121"/>
      <c r="I10" s="121"/>
      <c r="J10" s="142"/>
      <c r="K10" s="112"/>
      <c r="L10" s="112"/>
      <c r="M10" s="11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26"/>
      <c r="Z10" s="121"/>
      <c r="AA10" s="121"/>
      <c r="AB10" s="121"/>
      <c r="AC10" s="121"/>
      <c r="AD10" s="121"/>
      <c r="AE10" s="121"/>
    </row>
    <row r="11" spans="1:31" s="124" customFormat="1" ht="12.75">
      <c r="A11" s="103"/>
      <c r="B11" s="115"/>
      <c r="C11" s="115"/>
      <c r="D11" s="115"/>
      <c r="E11" s="115"/>
      <c r="F11" s="115"/>
      <c r="G11" s="115"/>
      <c r="H11" s="116"/>
      <c r="I11" s="116"/>
      <c r="J11" s="133"/>
      <c r="K11" s="115"/>
      <c r="L11" s="104"/>
      <c r="M11" s="104"/>
      <c r="N11" s="133"/>
      <c r="O11" s="133"/>
      <c r="P11" s="133"/>
      <c r="Q11" s="133"/>
      <c r="R11" s="86"/>
      <c r="S11" s="86"/>
      <c r="T11" s="86"/>
      <c r="U11" s="86"/>
      <c r="V11" s="86"/>
      <c r="W11" s="86"/>
      <c r="X11" s="86"/>
      <c r="Y11" s="133"/>
      <c r="Z11" s="104"/>
      <c r="AA11" s="104"/>
      <c r="AB11" s="104"/>
      <c r="AC11" s="104"/>
      <c r="AD11" s="104"/>
      <c r="AE11" s="104"/>
    </row>
    <row r="12" spans="1:31" s="124" customFormat="1" ht="12.75">
      <c r="A12" s="84" t="s">
        <v>149</v>
      </c>
      <c r="B12" s="85" t="s">
        <v>7</v>
      </c>
      <c r="C12" s="86" t="s">
        <v>26</v>
      </c>
      <c r="D12" s="86" t="s">
        <v>27</v>
      </c>
      <c r="E12" s="86" t="s">
        <v>28</v>
      </c>
      <c r="F12" s="85" t="s">
        <v>0</v>
      </c>
      <c r="G12" s="85" t="s">
        <v>25</v>
      </c>
      <c r="H12" s="86" t="s">
        <v>24</v>
      </c>
      <c r="I12" s="86" t="s">
        <v>153</v>
      </c>
      <c r="J12" s="87" t="s">
        <v>188</v>
      </c>
      <c r="K12" s="85" t="s">
        <v>191</v>
      </c>
      <c r="L12" s="85" t="s">
        <v>193</v>
      </c>
      <c r="M12" s="85" t="s">
        <v>196</v>
      </c>
      <c r="N12" s="86" t="s">
        <v>201</v>
      </c>
      <c r="O12" s="86" t="s">
        <v>211</v>
      </c>
      <c r="P12" s="86" t="s">
        <v>215</v>
      </c>
      <c r="Q12" s="86" t="s">
        <v>217</v>
      </c>
      <c r="R12" s="86" t="s">
        <v>219</v>
      </c>
      <c r="S12" s="86" t="s">
        <v>241</v>
      </c>
      <c r="T12" s="86" t="s">
        <v>246</v>
      </c>
      <c r="U12" s="86" t="s">
        <v>247</v>
      </c>
      <c r="V12" s="86" t="s">
        <v>251</v>
      </c>
      <c r="W12" s="86" t="s">
        <v>252</v>
      </c>
      <c r="X12" s="86" t="s">
        <v>254</v>
      </c>
      <c r="Y12" s="88"/>
      <c r="Z12" s="86">
        <v>2005</v>
      </c>
      <c r="AA12" s="86">
        <v>2006</v>
      </c>
      <c r="AB12" s="86">
        <v>2007</v>
      </c>
      <c r="AC12" s="86">
        <v>2008</v>
      </c>
      <c r="AD12" s="86">
        <v>2009</v>
      </c>
      <c r="AE12" s="86">
        <v>2010</v>
      </c>
    </row>
    <row r="13" spans="1:31" ht="22.5">
      <c r="A13" s="125" t="s">
        <v>67</v>
      </c>
      <c r="B13" s="108" t="s">
        <v>156</v>
      </c>
      <c r="C13" s="108" t="s">
        <v>156</v>
      </c>
      <c r="D13" s="108" t="s">
        <v>156</v>
      </c>
      <c r="E13" s="90">
        <v>35.635</v>
      </c>
      <c r="F13" s="108" t="s">
        <v>156</v>
      </c>
      <c r="G13" s="108" t="s">
        <v>156</v>
      </c>
      <c r="H13" s="108" t="s">
        <v>156</v>
      </c>
      <c r="I13" s="90">
        <v>17.965</v>
      </c>
      <c r="J13" s="108" t="s">
        <v>156</v>
      </c>
      <c r="K13" s="108" t="s">
        <v>156</v>
      </c>
      <c r="L13" s="108" t="s">
        <v>156</v>
      </c>
      <c r="M13" s="108">
        <v>35.12</v>
      </c>
      <c r="N13" s="108" t="s">
        <v>156</v>
      </c>
      <c r="O13" s="108" t="s">
        <v>156</v>
      </c>
      <c r="P13" s="108"/>
      <c r="Q13" s="108">
        <v>0.05</v>
      </c>
      <c r="R13" s="108" t="s">
        <v>156</v>
      </c>
      <c r="S13" s="108" t="s">
        <v>156</v>
      </c>
      <c r="T13" s="108" t="s">
        <v>156</v>
      </c>
      <c r="U13" s="108">
        <v>3.465</v>
      </c>
      <c r="V13" s="108" t="s">
        <v>156</v>
      </c>
      <c r="W13" s="108" t="s">
        <v>156</v>
      </c>
      <c r="X13" s="108" t="s">
        <v>156</v>
      </c>
      <c r="Y13" s="108"/>
      <c r="Z13" s="90">
        <v>12.769</v>
      </c>
      <c r="AA13" s="90">
        <v>35.635</v>
      </c>
      <c r="AB13" s="90">
        <v>17.965</v>
      </c>
      <c r="AC13" s="90">
        <v>35.12</v>
      </c>
      <c r="AD13" s="90">
        <f>Q13</f>
        <v>0.05</v>
      </c>
      <c r="AE13" s="90">
        <f>U13</f>
        <v>3.465</v>
      </c>
    </row>
    <row r="14" spans="1:31" s="131" customFormat="1" ht="12.75">
      <c r="A14" s="92" t="s">
        <v>154</v>
      </c>
      <c r="B14" s="127"/>
      <c r="C14" s="128"/>
      <c r="D14" s="128"/>
      <c r="E14" s="128"/>
      <c r="F14" s="128"/>
      <c r="G14" s="128"/>
      <c r="H14" s="129"/>
      <c r="I14" s="129"/>
      <c r="J14" s="96"/>
      <c r="K14" s="128"/>
      <c r="L14" s="129"/>
      <c r="M14" s="129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30"/>
      <c r="AA14" s="97">
        <v>1.7907432062025217</v>
      </c>
      <c r="AB14" s="97">
        <v>-0.4958608110004209</v>
      </c>
      <c r="AC14" s="97">
        <v>0.9549123295296409</v>
      </c>
      <c r="AD14" s="97">
        <f>AD13/AC13-1</f>
        <v>-0.9985763097949886</v>
      </c>
      <c r="AE14" s="97">
        <f>AE13/AD13-1</f>
        <v>68.3</v>
      </c>
    </row>
    <row r="15" spans="1:29" ht="12.75">
      <c r="A15" s="103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6"/>
      <c r="AA15" s="106"/>
      <c r="AB15" s="106"/>
      <c r="AC15" s="106"/>
    </row>
    <row r="16" ht="12.75">
      <c r="A16" s="1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7" r:id="rId1"/>
  <ignoredErrors>
    <ignoredError sqref="AD5 AE5:AE8 AD7 AD6 AD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9"/>
  <sheetViews>
    <sheetView showGridLines="0" view="pageBreakPreview" zoomScaleNormal="70" zoomScaleSheetLayoutView="100" zoomScalePageLayoutView="0" workbookViewId="0" topLeftCell="A1">
      <pane xSplit="1" ySplit="1" topLeftCell="U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74" sqref="AC74"/>
    </sheetView>
  </sheetViews>
  <sheetFormatPr defaultColWidth="9.140625" defaultRowHeight="12.75" outlineLevelRow="1" outlineLevelCol="1"/>
  <cols>
    <col min="1" max="1" width="49.421875" style="178" customWidth="1"/>
    <col min="2" max="12" width="8.8515625" style="156" hidden="1" customWidth="1" outlineLevel="1"/>
    <col min="13" max="13" width="8.8515625" style="156" customWidth="1" collapsed="1"/>
    <col min="14" max="15" width="8.8515625" style="156" customWidth="1"/>
    <col min="16" max="24" width="8.7109375" style="156" customWidth="1"/>
    <col min="25" max="25" width="5.140625" style="156" customWidth="1"/>
    <col min="26" max="29" width="8.8515625" style="156" customWidth="1"/>
    <col min="30" max="30" width="9.140625" style="81" customWidth="1"/>
    <col min="31" max="31" width="8.7109375" style="156" customWidth="1"/>
    <col min="32" max="16384" width="9.140625" style="81" customWidth="1"/>
  </cols>
  <sheetData>
    <row r="1" spans="1:31" ht="13.5" thickBot="1">
      <c r="A1" s="144" t="s">
        <v>170</v>
      </c>
      <c r="B1" s="145" t="s">
        <v>7</v>
      </c>
      <c r="C1" s="145" t="s">
        <v>26</v>
      </c>
      <c r="D1" s="145" t="s">
        <v>27</v>
      </c>
      <c r="E1" s="145" t="s">
        <v>28</v>
      </c>
      <c r="F1" s="145" t="s">
        <v>0</v>
      </c>
      <c r="G1" s="145" t="s">
        <v>25</v>
      </c>
      <c r="H1" s="145" t="s">
        <v>24</v>
      </c>
      <c r="I1" s="145" t="s">
        <v>153</v>
      </c>
      <c r="J1" s="146" t="s">
        <v>188</v>
      </c>
      <c r="K1" s="146" t="s">
        <v>191</v>
      </c>
      <c r="L1" s="146" t="s">
        <v>193</v>
      </c>
      <c r="M1" s="145" t="s">
        <v>194</v>
      </c>
      <c r="N1" s="145" t="s">
        <v>201</v>
      </c>
      <c r="O1" s="146" t="s">
        <v>211</v>
      </c>
      <c r="P1" s="146" t="s">
        <v>215</v>
      </c>
      <c r="Q1" s="146" t="s">
        <v>216</v>
      </c>
      <c r="R1" s="146" t="s">
        <v>220</v>
      </c>
      <c r="S1" s="146" t="s">
        <v>240</v>
      </c>
      <c r="T1" s="146" t="s">
        <v>245</v>
      </c>
      <c r="U1" s="146" t="s">
        <v>248</v>
      </c>
      <c r="V1" s="146" t="s">
        <v>251</v>
      </c>
      <c r="W1" s="146" t="s">
        <v>253</v>
      </c>
      <c r="X1" s="146" t="s">
        <v>256</v>
      </c>
      <c r="Y1" s="146"/>
      <c r="Z1" s="145">
        <v>2005</v>
      </c>
      <c r="AA1" s="145">
        <v>2006</v>
      </c>
      <c r="AB1" s="145">
        <v>2007</v>
      </c>
      <c r="AC1" s="145">
        <v>2008</v>
      </c>
      <c r="AD1" s="145">
        <v>2009</v>
      </c>
      <c r="AE1" s="146">
        <v>2010</v>
      </c>
    </row>
    <row r="2" spans="1:31" s="137" customFormat="1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ht="12" customHeight="1">
      <c r="A3" s="149" t="s">
        <v>86</v>
      </c>
      <c r="B3" s="150">
        <v>1086809</v>
      </c>
      <c r="C3" s="150">
        <v>2541985</v>
      </c>
      <c r="D3" s="150">
        <v>4284964</v>
      </c>
      <c r="E3" s="150">
        <v>6045625</v>
      </c>
      <c r="F3" s="150">
        <v>1750166</v>
      </c>
      <c r="G3" s="150">
        <v>3609079</v>
      </c>
      <c r="H3" s="150">
        <v>5545557</v>
      </c>
      <c r="I3" s="150">
        <v>7719061</v>
      </c>
      <c r="J3" s="150">
        <v>2353260</v>
      </c>
      <c r="K3" s="150">
        <v>5883616</v>
      </c>
      <c r="L3" s="150">
        <v>9639887</v>
      </c>
      <c r="M3" s="150">
        <v>11698661</v>
      </c>
      <c r="N3" s="150">
        <v>1293326</v>
      </c>
      <c r="O3" s="150">
        <v>2586261</v>
      </c>
      <c r="P3" s="150">
        <v>4325331</v>
      </c>
      <c r="Q3" s="150">
        <v>6139895</v>
      </c>
      <c r="R3" s="150">
        <v>1697442</v>
      </c>
      <c r="S3" s="150">
        <v>3853128</v>
      </c>
      <c r="T3" s="150">
        <v>6084636</v>
      </c>
      <c r="U3" s="150">
        <v>8350748</v>
      </c>
      <c r="V3" s="150">
        <v>2358878</v>
      </c>
      <c r="W3" s="150">
        <v>5341145</v>
      </c>
      <c r="X3" s="150">
        <v>8675117</v>
      </c>
      <c r="Y3" s="150"/>
      <c r="Z3" s="150">
        <v>4375806</v>
      </c>
      <c r="AA3" s="150">
        <v>6045625</v>
      </c>
      <c r="AB3" s="150">
        <v>7719061</v>
      </c>
      <c r="AC3" s="150">
        <v>11698661</v>
      </c>
      <c r="AD3" s="150">
        <f>Q3</f>
        <v>6139895</v>
      </c>
      <c r="AE3" s="150">
        <f>U3</f>
        <v>8350748</v>
      </c>
    </row>
    <row r="4" spans="1:31" ht="5.2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2.75">
      <c r="A5" s="153" t="s">
        <v>87</v>
      </c>
      <c r="B5" s="154">
        <v>-574969</v>
      </c>
      <c r="C5" s="154">
        <v>-1236662</v>
      </c>
      <c r="D5" s="154">
        <v>-1988160</v>
      </c>
      <c r="E5" s="154">
        <v>-2716434</v>
      </c>
      <c r="F5" s="154">
        <v>-830451</v>
      </c>
      <c r="G5" s="154">
        <v>-1663079</v>
      </c>
      <c r="H5" s="154">
        <v>-2525207</v>
      </c>
      <c r="I5" s="154">
        <v>-3569331</v>
      </c>
      <c r="J5" s="154">
        <v>-1194925</v>
      </c>
      <c r="K5" s="154">
        <v>-2988536</v>
      </c>
      <c r="L5" s="155">
        <v>-4507769</v>
      </c>
      <c r="M5" s="155">
        <v>-5808780</v>
      </c>
      <c r="N5" s="155">
        <v>-874389</v>
      </c>
      <c r="O5" s="154">
        <v>-1669866</v>
      </c>
      <c r="P5" s="154">
        <v>-2672718</v>
      </c>
      <c r="Q5" s="154">
        <v>-3672245</v>
      </c>
      <c r="R5" s="154">
        <v>-1050443</v>
      </c>
      <c r="S5" s="154">
        <v>-2196645</v>
      </c>
      <c r="T5" s="154">
        <v>-3457088</v>
      </c>
      <c r="U5" s="154">
        <v>-4933236</v>
      </c>
      <c r="V5" s="154">
        <v>-1465767</v>
      </c>
      <c r="W5" s="154">
        <v>-3250461</v>
      </c>
      <c r="X5" s="154">
        <v>-5617718</v>
      </c>
      <c r="Y5" s="154"/>
      <c r="Z5" s="154">
        <v>-2048828</v>
      </c>
      <c r="AA5" s="154">
        <v>-2716434</v>
      </c>
      <c r="AB5" s="154">
        <v>-3569331</v>
      </c>
      <c r="AC5" s="154">
        <v>-5808780</v>
      </c>
      <c r="AD5" s="154">
        <f>Q5</f>
        <v>-3672245</v>
      </c>
      <c r="AE5" s="154">
        <f aca="true" t="shared" si="0" ref="AE5:AE55">U5</f>
        <v>-4933236</v>
      </c>
    </row>
    <row r="6" spans="1:31" s="140" customFormat="1" ht="12.75">
      <c r="A6" s="153" t="s">
        <v>46</v>
      </c>
      <c r="B6" s="154">
        <v>-73701</v>
      </c>
      <c r="C6" s="154">
        <v>-158305</v>
      </c>
      <c r="D6" s="154">
        <v>-250018</v>
      </c>
      <c r="E6" s="154">
        <v>-357941</v>
      </c>
      <c r="F6" s="154">
        <v>-102342</v>
      </c>
      <c r="G6" s="154">
        <v>-197752</v>
      </c>
      <c r="H6" s="154">
        <v>-297161</v>
      </c>
      <c r="I6" s="154">
        <v>-407699</v>
      </c>
      <c r="J6" s="154">
        <v>-119354</v>
      </c>
      <c r="K6" s="154">
        <v>-245884</v>
      </c>
      <c r="L6" s="155">
        <v>-379690</v>
      </c>
      <c r="M6" s="155">
        <v>-498994</v>
      </c>
      <c r="N6" s="155">
        <v>-96625</v>
      </c>
      <c r="O6" s="154">
        <v>-222745</v>
      </c>
      <c r="P6" s="154">
        <v>-348684</v>
      </c>
      <c r="Q6" s="154">
        <v>-478117</v>
      </c>
      <c r="R6" s="154">
        <v>-122995</v>
      </c>
      <c r="S6" s="154">
        <v>-245892</v>
      </c>
      <c r="T6" s="154">
        <v>-357160</v>
      </c>
      <c r="U6" s="154">
        <v>-469418</v>
      </c>
      <c r="V6" s="154">
        <v>-124044</v>
      </c>
      <c r="W6" s="154">
        <v>-258638</v>
      </c>
      <c r="X6" s="154">
        <v>-459988</v>
      </c>
      <c r="Y6" s="154"/>
      <c r="Z6" s="154">
        <v>-282876</v>
      </c>
      <c r="AA6" s="154">
        <v>-357941</v>
      </c>
      <c r="AB6" s="154">
        <v>-407699</v>
      </c>
      <c r="AC6" s="154">
        <v>-498994</v>
      </c>
      <c r="AD6" s="154">
        <f>Q6</f>
        <v>-478117</v>
      </c>
      <c r="AE6" s="154">
        <f t="shared" si="0"/>
        <v>-469418</v>
      </c>
    </row>
    <row r="7" spans="1:31" s="140" customFormat="1" ht="5.2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s="140" customFormat="1" ht="12.75">
      <c r="A8" s="149" t="s">
        <v>88</v>
      </c>
      <c r="B8" s="150">
        <v>438139</v>
      </c>
      <c r="C8" s="150">
        <v>1147018</v>
      </c>
      <c r="D8" s="150">
        <v>2046786</v>
      </c>
      <c r="E8" s="150">
        <v>2971250</v>
      </c>
      <c r="F8" s="150">
        <v>817373</v>
      </c>
      <c r="G8" s="150">
        <v>1748248</v>
      </c>
      <c r="H8" s="150">
        <v>2723189</v>
      </c>
      <c r="I8" s="150">
        <v>3742031</v>
      </c>
      <c r="J8" s="150">
        <v>1038981</v>
      </c>
      <c r="K8" s="150">
        <v>2649196</v>
      </c>
      <c r="L8" s="150">
        <v>4752428</v>
      </c>
      <c r="M8" s="150">
        <v>5390887</v>
      </c>
      <c r="N8" s="150">
        <v>322312</v>
      </c>
      <c r="O8" s="150">
        <v>693650</v>
      </c>
      <c r="P8" s="150">
        <v>1303929</v>
      </c>
      <c r="Q8" s="150">
        <v>1989533</v>
      </c>
      <c r="R8" s="150">
        <v>524004</v>
      </c>
      <c r="S8" s="150">
        <v>1410591</v>
      </c>
      <c r="T8" s="150">
        <v>2270388</v>
      </c>
      <c r="U8" s="150">
        <v>2948094</v>
      </c>
      <c r="V8" s="150">
        <v>769067</v>
      </c>
      <c r="W8" s="150">
        <v>1832046</v>
      </c>
      <c r="X8" s="150">
        <v>2597411</v>
      </c>
      <c r="Y8" s="150"/>
      <c r="Z8" s="150">
        <v>2044102</v>
      </c>
      <c r="AA8" s="150">
        <v>2971250</v>
      </c>
      <c r="AB8" s="150">
        <v>3742031</v>
      </c>
      <c r="AC8" s="150">
        <v>5390887</v>
      </c>
      <c r="AD8" s="150">
        <f>Q8</f>
        <v>1989533</v>
      </c>
      <c r="AE8" s="150">
        <f t="shared" si="0"/>
        <v>2948094</v>
      </c>
    </row>
    <row r="9" spans="1:31" s="140" customFormat="1" ht="5.2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s="140" customFormat="1" ht="12.75">
      <c r="A10" s="151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v>-489089</v>
      </c>
      <c r="P10" s="152">
        <v>-759383</v>
      </c>
      <c r="Q10" s="152">
        <v>-1097612</v>
      </c>
      <c r="R10" s="152">
        <v>-259544</v>
      </c>
      <c r="S10" s="152">
        <v>-519442</v>
      </c>
      <c r="T10" s="152">
        <v>-809950</v>
      </c>
      <c r="U10" s="152">
        <v>-1153504</v>
      </c>
      <c r="V10" s="152">
        <v>-305658</v>
      </c>
      <c r="W10" s="152">
        <v>-679530</v>
      </c>
      <c r="X10" s="152">
        <v>-1173939</v>
      </c>
      <c r="Y10" s="152"/>
      <c r="Z10" s="152"/>
      <c r="AA10" s="152"/>
      <c r="AB10" s="152"/>
      <c r="AC10" s="152"/>
      <c r="AD10" s="152">
        <f>Q10</f>
        <v>-1097612</v>
      </c>
      <c r="AE10" s="152">
        <f t="shared" si="0"/>
        <v>-1153504</v>
      </c>
    </row>
    <row r="11" spans="1:31" s="140" customFormat="1" ht="12.75">
      <c r="A11" s="153" t="s">
        <v>90</v>
      </c>
      <c r="B11" s="154">
        <v>-35177</v>
      </c>
      <c r="C11" s="154">
        <v>-85987</v>
      </c>
      <c r="D11" s="154">
        <v>-129312</v>
      </c>
      <c r="E11" s="154">
        <v>-188648</v>
      </c>
      <c r="F11" s="154">
        <v>-63191</v>
      </c>
      <c r="G11" s="154">
        <v>-106623</v>
      </c>
      <c r="H11" s="154">
        <v>-158550</v>
      </c>
      <c r="I11" s="154">
        <v>-214836</v>
      </c>
      <c r="J11" s="154">
        <v>-79923</v>
      </c>
      <c r="K11" s="154">
        <v>-171191</v>
      </c>
      <c r="L11" s="155">
        <v>-308521</v>
      </c>
      <c r="M11" s="155">
        <v>-366664</v>
      </c>
      <c r="N11" s="155">
        <v>-89810</v>
      </c>
      <c r="O11" s="154">
        <v>-165486</v>
      </c>
      <c r="P11" s="154">
        <v>-233276</v>
      </c>
      <c r="Q11" s="154">
        <v>-297246</v>
      </c>
      <c r="R11" s="154">
        <v>-66473</v>
      </c>
      <c r="S11" s="154">
        <v>-128343</v>
      </c>
      <c r="T11" s="154">
        <v>-202626</v>
      </c>
      <c r="U11" s="154">
        <v>-263146</v>
      </c>
      <c r="V11" s="154">
        <v>-85084</v>
      </c>
      <c r="W11" s="154">
        <v>-181094</v>
      </c>
      <c r="X11" s="154">
        <v>-365567</v>
      </c>
      <c r="Y11" s="154"/>
      <c r="Z11" s="154">
        <v>-101351</v>
      </c>
      <c r="AA11" s="154">
        <v>-188648</v>
      </c>
      <c r="AB11" s="154">
        <v>-214836</v>
      </c>
      <c r="AC11" s="154">
        <v>-366664</v>
      </c>
      <c r="AD11" s="154">
        <f>Q11</f>
        <v>-297246</v>
      </c>
      <c r="AE11" s="154">
        <f t="shared" si="0"/>
        <v>-263146</v>
      </c>
    </row>
    <row r="12" spans="1:31" ht="12.75">
      <c r="A12" s="153" t="s">
        <v>91</v>
      </c>
      <c r="B12" s="154">
        <v>-16155</v>
      </c>
      <c r="C12" s="154">
        <v>-117642</v>
      </c>
      <c r="D12" s="154">
        <v>-207735</v>
      </c>
      <c r="E12" s="154">
        <v>-325361</v>
      </c>
      <c r="F12" s="154">
        <v>-93699</v>
      </c>
      <c r="G12" s="154">
        <v>-211848</v>
      </c>
      <c r="H12" s="154">
        <v>-318006</v>
      </c>
      <c r="I12" s="154">
        <v>-442657</v>
      </c>
      <c r="J12" s="154">
        <v>-151416</v>
      </c>
      <c r="K12" s="154">
        <v>-343663</v>
      </c>
      <c r="L12" s="155">
        <v>-575130</v>
      </c>
      <c r="M12" s="155">
        <v>-734489</v>
      </c>
      <c r="N12" s="155">
        <v>-110849</v>
      </c>
      <c r="O12" s="154">
        <v>-274705</v>
      </c>
      <c r="P12" s="154">
        <v>-450344</v>
      </c>
      <c r="Q12" s="154">
        <v>-654628</v>
      </c>
      <c r="R12" s="154">
        <v>-161348</v>
      </c>
      <c r="S12" s="154">
        <v>-330492</v>
      </c>
      <c r="T12" s="154">
        <v>-517319</v>
      </c>
      <c r="U12" s="154">
        <v>-708868</v>
      </c>
      <c r="V12" s="154">
        <v>-186446</v>
      </c>
      <c r="W12" s="154">
        <v>-427248</v>
      </c>
      <c r="X12" s="154">
        <v>-690591</v>
      </c>
      <c r="Y12" s="154"/>
      <c r="Z12" s="154">
        <v>-62371</v>
      </c>
      <c r="AA12" s="154">
        <v>-325361</v>
      </c>
      <c r="AB12" s="154">
        <v>-442657</v>
      </c>
      <c r="AC12" s="154">
        <v>-734489</v>
      </c>
      <c r="AD12" s="154">
        <f>Q12</f>
        <v>-654628</v>
      </c>
      <c r="AE12" s="154">
        <f t="shared" si="0"/>
        <v>-708868</v>
      </c>
    </row>
    <row r="13" spans="1:31" ht="12.75">
      <c r="A13" s="153" t="s">
        <v>92</v>
      </c>
      <c r="B13" s="154">
        <v>-10398</v>
      </c>
      <c r="C13" s="154">
        <v>-21658</v>
      </c>
      <c r="D13" s="154">
        <v>-33694</v>
      </c>
      <c r="E13" s="154">
        <v>-57215</v>
      </c>
      <c r="F13" s="154">
        <v>-14318</v>
      </c>
      <c r="G13" s="154">
        <v>-39582</v>
      </c>
      <c r="H13" s="154">
        <v>-58997</v>
      </c>
      <c r="I13" s="154">
        <v>-79977</v>
      </c>
      <c r="J13" s="154">
        <v>-31230</v>
      </c>
      <c r="K13" s="154">
        <v>-64626</v>
      </c>
      <c r="L13" s="155">
        <v>-88348</v>
      </c>
      <c r="M13" s="155">
        <v>-100025</v>
      </c>
      <c r="N13" s="155">
        <v>-22562</v>
      </c>
      <c r="O13" s="154">
        <v>-48898</v>
      </c>
      <c r="P13" s="154">
        <v>-75763</v>
      </c>
      <c r="Q13" s="154">
        <v>-102076</v>
      </c>
      <c r="R13" s="154">
        <v>-31723</v>
      </c>
      <c r="S13" s="154">
        <v>-60607</v>
      </c>
      <c r="T13" s="154">
        <v>-90005</v>
      </c>
      <c r="U13" s="154">
        <v>-123311</v>
      </c>
      <c r="V13" s="154">
        <v>-34128</v>
      </c>
      <c r="W13" s="154">
        <v>-71188</v>
      </c>
      <c r="X13" s="154">
        <v>-117781</v>
      </c>
      <c r="Y13" s="154"/>
      <c r="Z13" s="154">
        <v>-36356</v>
      </c>
      <c r="AA13" s="154">
        <v>-57215</v>
      </c>
      <c r="AB13" s="154">
        <v>-79977</v>
      </c>
      <c r="AC13" s="154">
        <v>-100025</v>
      </c>
      <c r="AD13" s="154">
        <f>Q13</f>
        <v>-102076</v>
      </c>
      <c r="AE13" s="154">
        <f t="shared" si="0"/>
        <v>-123311</v>
      </c>
    </row>
    <row r="14" spans="1:31" ht="12.75">
      <c r="A14" s="153" t="s">
        <v>54</v>
      </c>
      <c r="B14" s="154"/>
      <c r="C14" s="154"/>
      <c r="D14" s="154"/>
      <c r="E14" s="154">
        <v>-136916</v>
      </c>
      <c r="F14" s="154"/>
      <c r="G14" s="154"/>
      <c r="H14" s="154"/>
      <c r="I14" s="154"/>
      <c r="J14" s="154"/>
      <c r="K14" s="154"/>
      <c r="L14" s="155"/>
      <c r="M14" s="155">
        <v>-128389</v>
      </c>
      <c r="N14" s="155"/>
      <c r="O14" s="154"/>
      <c r="P14" s="154"/>
      <c r="Q14" s="154">
        <v>-43662</v>
      </c>
      <c r="R14" s="154"/>
      <c r="S14" s="154"/>
      <c r="T14" s="154"/>
      <c r="U14" s="154">
        <v>-58179</v>
      </c>
      <c r="V14" s="154"/>
      <c r="W14" s="154"/>
      <c r="X14" s="154"/>
      <c r="Y14" s="154"/>
      <c r="Z14" s="154"/>
      <c r="AA14" s="154">
        <v>-136916</v>
      </c>
      <c r="AB14" s="154"/>
      <c r="AC14" s="154">
        <v>-128389</v>
      </c>
      <c r="AD14" s="154">
        <f>Q14</f>
        <v>-43662</v>
      </c>
      <c r="AE14" s="154">
        <f t="shared" si="0"/>
        <v>-58179</v>
      </c>
    </row>
    <row r="15" spans="1:31" ht="12.75">
      <c r="A15" s="153" t="s">
        <v>55</v>
      </c>
      <c r="B15" s="154"/>
      <c r="C15" s="154"/>
      <c r="D15" s="154"/>
      <c r="E15" s="154">
        <v>-19765</v>
      </c>
      <c r="F15" s="154">
        <v>-6019</v>
      </c>
      <c r="G15" s="154">
        <v>-6070</v>
      </c>
      <c r="H15" s="154">
        <v>-6115</v>
      </c>
      <c r="I15" s="154">
        <v>-6190</v>
      </c>
      <c r="J15" s="154"/>
      <c r="K15" s="154"/>
      <c r="L15" s="155"/>
      <c r="M15" s="155"/>
      <c r="N15" s="155"/>
      <c r="O15" s="154"/>
      <c r="P15" s="154"/>
      <c r="Y15" s="154"/>
      <c r="Z15" s="154"/>
      <c r="AA15" s="154">
        <v>-19765</v>
      </c>
      <c r="AB15" s="154">
        <v>-6190</v>
      </c>
      <c r="AC15" s="154"/>
      <c r="AD15" s="154"/>
      <c r="AE15" s="156">
        <f t="shared" si="0"/>
        <v>0</v>
      </c>
    </row>
    <row r="16" spans="1:31" ht="5.2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5"/>
      <c r="M16" s="155"/>
      <c r="N16" s="155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12.75">
      <c r="A17" s="159" t="s">
        <v>3</v>
      </c>
      <c r="B17" s="160">
        <v>376409</v>
      </c>
      <c r="C17" s="160">
        <v>921731</v>
      </c>
      <c r="D17" s="160">
        <v>1676045</v>
      </c>
      <c r="E17" s="160">
        <v>2243345</v>
      </c>
      <c r="F17" s="160">
        <v>640146</v>
      </c>
      <c r="G17" s="160">
        <v>1384125</v>
      </c>
      <c r="H17" s="160">
        <v>2181521</v>
      </c>
      <c r="I17" s="160">
        <v>2998371</v>
      </c>
      <c r="J17" s="160">
        <v>776412</v>
      </c>
      <c r="K17" s="160">
        <v>2069716</v>
      </c>
      <c r="L17" s="150">
        <v>3780429</v>
      </c>
      <c r="M17" s="150">
        <v>4061320</v>
      </c>
      <c r="N17" s="150">
        <v>99091</v>
      </c>
      <c r="O17" s="160">
        <v>204561</v>
      </c>
      <c r="P17" s="160">
        <v>544546</v>
      </c>
      <c r="Q17" s="160">
        <v>891921</v>
      </c>
      <c r="R17" s="160">
        <v>264460</v>
      </c>
      <c r="S17" s="160">
        <v>891149</v>
      </c>
      <c r="T17" s="160">
        <v>1460438</v>
      </c>
      <c r="U17" s="160">
        <v>1794590</v>
      </c>
      <c r="V17" s="160">
        <v>463409</v>
      </c>
      <c r="W17" s="160">
        <v>1152516</v>
      </c>
      <c r="X17" s="160">
        <v>1423472</v>
      </c>
      <c r="Y17" s="160"/>
      <c r="Z17" s="160">
        <v>1844024</v>
      </c>
      <c r="AA17" s="160">
        <v>2243345</v>
      </c>
      <c r="AB17" s="160">
        <v>2998371</v>
      </c>
      <c r="AC17" s="160">
        <v>4061320</v>
      </c>
      <c r="AD17" s="160">
        <f>Q17</f>
        <v>891921</v>
      </c>
      <c r="AE17" s="160">
        <f t="shared" si="0"/>
        <v>1794590</v>
      </c>
    </row>
    <row r="18" spans="1:31" ht="12.75">
      <c r="A18" s="161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ht="5.2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ht="12.75">
      <c r="A20" s="151" t="s">
        <v>93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</row>
    <row r="21" spans="1:31" ht="12.75">
      <c r="A21" s="153" t="s">
        <v>47</v>
      </c>
      <c r="B21" s="154">
        <v>-1492</v>
      </c>
      <c r="C21" s="154">
        <v>-2719</v>
      </c>
      <c r="D21" s="154">
        <v>-4763</v>
      </c>
      <c r="E21" s="154">
        <v>-3582</v>
      </c>
      <c r="F21" s="154">
        <v>-12609</v>
      </c>
      <c r="G21" s="154">
        <v>-19791</v>
      </c>
      <c r="H21" s="154">
        <v>-24575</v>
      </c>
      <c r="I21" s="154">
        <v>-27285</v>
      </c>
      <c r="J21" s="154">
        <v>6097</v>
      </c>
      <c r="K21" s="154">
        <v>-580</v>
      </c>
      <c r="L21" s="155">
        <v>-18556</v>
      </c>
      <c r="M21" s="155">
        <v>-9594</v>
      </c>
      <c r="N21" s="155">
        <v>-2104</v>
      </c>
      <c r="O21" s="154">
        <v>-8059</v>
      </c>
      <c r="P21" s="154">
        <v>-13132</v>
      </c>
      <c r="Q21" s="154">
        <v>-4420</v>
      </c>
      <c r="R21" s="154">
        <v>-1927</v>
      </c>
      <c r="S21" s="154">
        <v>-13609</v>
      </c>
      <c r="T21" s="154">
        <v>-17919</v>
      </c>
      <c r="U21" s="154">
        <v>-9657</v>
      </c>
      <c r="V21" s="154">
        <v>-5867</v>
      </c>
      <c r="W21" s="154">
        <v>-22239</v>
      </c>
      <c r="X21" s="154">
        <v>-23234</v>
      </c>
      <c r="Y21" s="154"/>
      <c r="Z21" s="154">
        <v>-11579</v>
      </c>
      <c r="AA21" s="154">
        <v>-3582</v>
      </c>
      <c r="AB21" s="154">
        <v>-27285</v>
      </c>
      <c r="AC21" s="154">
        <v>-9594</v>
      </c>
      <c r="AD21" s="154">
        <f>Q21</f>
        <v>-4420</v>
      </c>
      <c r="AE21" s="154">
        <f t="shared" si="0"/>
        <v>-9657</v>
      </c>
    </row>
    <row r="22" spans="1:31" ht="12.75">
      <c r="A22" s="153" t="s">
        <v>94</v>
      </c>
      <c r="B22" s="154">
        <v>383759</v>
      </c>
      <c r="C22" s="154">
        <v>390463</v>
      </c>
      <c r="D22" s="154">
        <v>395341</v>
      </c>
      <c r="E22" s="154">
        <v>400696</v>
      </c>
      <c r="F22" s="154">
        <v>-1492</v>
      </c>
      <c r="G22" s="154">
        <v>-3442</v>
      </c>
      <c r="H22" s="154">
        <v>-3542</v>
      </c>
      <c r="I22" s="154">
        <v>-23522</v>
      </c>
      <c r="J22" s="154">
        <v>6421</v>
      </c>
      <c r="K22" s="154">
        <v>3948</v>
      </c>
      <c r="L22" s="155">
        <v>25243</v>
      </c>
      <c r="M22" s="155">
        <v>-21319</v>
      </c>
      <c r="N22" s="155">
        <v>-1472</v>
      </c>
      <c r="O22" s="154">
        <v>-1580</v>
      </c>
      <c r="P22" s="154">
        <v>-1862</v>
      </c>
      <c r="Q22" s="154">
        <v>-10903</v>
      </c>
      <c r="R22" s="154">
        <v>-1312</v>
      </c>
      <c r="S22" s="154">
        <v>-7888</v>
      </c>
      <c r="T22" s="154">
        <v>-10384</v>
      </c>
      <c r="U22" s="154">
        <v>-27991</v>
      </c>
      <c r="V22" s="154">
        <v>-3330</v>
      </c>
      <c r="W22" s="154">
        <v>-13288</v>
      </c>
      <c r="X22" s="154">
        <v>68981</v>
      </c>
      <c r="Y22" s="154"/>
      <c r="Z22" s="154">
        <v>2771</v>
      </c>
      <c r="AA22" s="154">
        <v>400696</v>
      </c>
      <c r="AB22" s="154">
        <v>-23522</v>
      </c>
      <c r="AC22" s="154">
        <v>-21319</v>
      </c>
      <c r="AD22" s="154">
        <f>Q22</f>
        <v>-10903</v>
      </c>
      <c r="AE22" s="154">
        <f t="shared" si="0"/>
        <v>-27991</v>
      </c>
    </row>
    <row r="23" spans="1:31" ht="12.75">
      <c r="A23" s="153" t="s">
        <v>95</v>
      </c>
      <c r="B23" s="154">
        <v>29300</v>
      </c>
      <c r="C23" s="154">
        <v>58672</v>
      </c>
      <c r="D23" s="154">
        <v>82711</v>
      </c>
      <c r="E23" s="154">
        <v>111789</v>
      </c>
      <c r="F23" s="154">
        <v>25029</v>
      </c>
      <c r="G23" s="154">
        <v>44778</v>
      </c>
      <c r="H23" s="154">
        <v>68241</v>
      </c>
      <c r="I23" s="154">
        <v>99751</v>
      </c>
      <c r="J23" s="154">
        <v>32578</v>
      </c>
      <c r="K23" s="154">
        <v>45369</v>
      </c>
      <c r="L23" s="155">
        <v>70047</v>
      </c>
      <c r="M23" s="155">
        <v>100238</v>
      </c>
      <c r="N23" s="155">
        <v>17897</v>
      </c>
      <c r="O23" s="154">
        <v>34637</v>
      </c>
      <c r="P23" s="154">
        <v>53092</v>
      </c>
      <c r="Q23" s="154">
        <v>59733</v>
      </c>
      <c r="R23" s="154">
        <v>11470</v>
      </c>
      <c r="S23" s="154">
        <v>21218</v>
      </c>
      <c r="T23" s="154">
        <v>34313</v>
      </c>
      <c r="U23" s="154">
        <v>45071</v>
      </c>
      <c r="V23" s="154">
        <v>9479</v>
      </c>
      <c r="W23" s="154">
        <v>18836</v>
      </c>
      <c r="X23" s="154">
        <v>19852</v>
      </c>
      <c r="Y23" s="154"/>
      <c r="Z23" s="154">
        <v>98708</v>
      </c>
      <c r="AA23" s="154">
        <v>111789</v>
      </c>
      <c r="AB23" s="154">
        <v>99751</v>
      </c>
      <c r="AC23" s="154">
        <v>100238</v>
      </c>
      <c r="AD23" s="154">
        <f>Q23</f>
        <v>59733</v>
      </c>
      <c r="AE23" s="154">
        <f t="shared" si="0"/>
        <v>45071</v>
      </c>
    </row>
    <row r="24" spans="1:31" ht="12.75">
      <c r="A24" s="153" t="s">
        <v>96</v>
      </c>
      <c r="B24" s="154">
        <v>-4541</v>
      </c>
      <c r="C24" s="154">
        <v>-10626</v>
      </c>
      <c r="D24" s="154">
        <v>-19379</v>
      </c>
      <c r="E24" s="154">
        <v>-29692</v>
      </c>
      <c r="F24" s="154">
        <v>-8404</v>
      </c>
      <c r="G24" s="154">
        <v>-12127</v>
      </c>
      <c r="H24" s="154">
        <v>-14840</v>
      </c>
      <c r="I24" s="154">
        <v>-31417</v>
      </c>
      <c r="J24" s="154">
        <v>-55466</v>
      </c>
      <c r="K24" s="154">
        <v>-110379</v>
      </c>
      <c r="L24" s="155">
        <v>-136494</v>
      </c>
      <c r="M24" s="155">
        <v>-217270</v>
      </c>
      <c r="N24" s="155">
        <v>-53968</v>
      </c>
      <c r="O24" s="154">
        <v>-101376</v>
      </c>
      <c r="P24" s="154">
        <v>-131886</v>
      </c>
      <c r="Q24" s="154">
        <v>-170905</v>
      </c>
      <c r="R24" s="154">
        <v>-7826</v>
      </c>
      <c r="S24" s="154">
        <v>-9147</v>
      </c>
      <c r="T24" s="154">
        <v>-23871</v>
      </c>
      <c r="U24" s="154">
        <v>-15865</v>
      </c>
      <c r="V24" s="154"/>
      <c r="W24" s="154"/>
      <c r="X24" s="154"/>
      <c r="Y24" s="154"/>
      <c r="Z24" s="154">
        <v>-15377</v>
      </c>
      <c r="AA24" s="154">
        <v>-29692</v>
      </c>
      <c r="AB24" s="154">
        <v>-31417</v>
      </c>
      <c r="AC24" s="154">
        <v>-217270</v>
      </c>
      <c r="AD24" s="154">
        <f>Q24</f>
        <v>-170905</v>
      </c>
      <c r="AE24" s="154">
        <f t="shared" si="0"/>
        <v>-15865</v>
      </c>
    </row>
    <row r="25" spans="1:31" ht="12.75">
      <c r="A25" s="153" t="s">
        <v>97</v>
      </c>
      <c r="B25" s="154">
        <v>-56605</v>
      </c>
      <c r="C25" s="154">
        <v>-69779</v>
      </c>
      <c r="D25" s="154">
        <v>-71944</v>
      </c>
      <c r="E25" s="154">
        <v>-74975</v>
      </c>
      <c r="F25" s="154">
        <v>11832</v>
      </c>
      <c r="G25" s="154">
        <v>15325</v>
      </c>
      <c r="H25" s="154">
        <v>55889</v>
      </c>
      <c r="I25" s="154">
        <v>80495</v>
      </c>
      <c r="J25" s="154">
        <v>28958</v>
      </c>
      <c r="K25" s="154">
        <v>36449</v>
      </c>
      <c r="L25" s="155">
        <v>-29183</v>
      </c>
      <c r="M25" s="155">
        <v>-366984</v>
      </c>
      <c r="N25" s="155">
        <v>-113004</v>
      </c>
      <c r="O25" s="154">
        <v>-89515</v>
      </c>
      <c r="P25" s="154">
        <v>-77683</v>
      </c>
      <c r="Q25" s="154">
        <v>-78026</v>
      </c>
      <c r="R25" s="154">
        <v>-53381</v>
      </c>
      <c r="S25" s="154">
        <v>-134002</v>
      </c>
      <c r="T25" s="154">
        <v>-53615</v>
      </c>
      <c r="U25" s="154">
        <v>-59262</v>
      </c>
      <c r="V25" s="154">
        <v>23032</v>
      </c>
      <c r="W25" s="154">
        <v>31044</v>
      </c>
      <c r="X25" s="154">
        <v>44834</v>
      </c>
      <c r="Y25" s="154"/>
      <c r="Z25" s="154">
        <v>-9805</v>
      </c>
      <c r="AA25" s="154">
        <v>-74975</v>
      </c>
      <c r="AB25" s="154">
        <v>80495</v>
      </c>
      <c r="AC25" s="154">
        <v>-366984</v>
      </c>
      <c r="AD25" s="154">
        <f>Q25</f>
        <v>-78026</v>
      </c>
      <c r="AE25" s="154">
        <f t="shared" si="0"/>
        <v>-59262</v>
      </c>
    </row>
    <row r="26" spans="1:31" ht="12.75">
      <c r="A26" s="153" t="s">
        <v>98</v>
      </c>
      <c r="B26" s="154"/>
      <c r="C26" s="154"/>
      <c r="D26" s="154"/>
      <c r="E26" s="154"/>
      <c r="F26" s="154"/>
      <c r="G26" s="154">
        <v>81511</v>
      </c>
      <c r="H26" s="154">
        <v>82116</v>
      </c>
      <c r="I26" s="154">
        <v>83122</v>
      </c>
      <c r="J26" s="154"/>
      <c r="K26" s="154"/>
      <c r="L26" s="155"/>
      <c r="M26" s="155"/>
      <c r="N26" s="155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>
        <v>83122</v>
      </c>
      <c r="AC26" s="154"/>
      <c r="AD26" s="154"/>
      <c r="AE26" s="154"/>
    </row>
    <row r="27" spans="1:31" ht="12.75">
      <c r="A27" s="153" t="s">
        <v>99</v>
      </c>
      <c r="B27" s="154">
        <v>-2466</v>
      </c>
      <c r="C27" s="154">
        <v>-8858</v>
      </c>
      <c r="D27" s="154">
        <v>-11147</v>
      </c>
      <c r="E27" s="154">
        <v>-26526</v>
      </c>
      <c r="F27" s="154">
        <v>13261</v>
      </c>
      <c r="G27" s="154">
        <v>1682</v>
      </c>
      <c r="H27" s="154">
        <v>-3197</v>
      </c>
      <c r="I27" s="154">
        <v>-22688</v>
      </c>
      <c r="J27" s="154">
        <v>-32059</v>
      </c>
      <c r="K27" s="154">
        <v>-54099</v>
      </c>
      <c r="L27" s="155">
        <v>-38988</v>
      </c>
      <c r="M27" s="155">
        <v>-414694</v>
      </c>
      <c r="N27" s="155">
        <v>-56913</v>
      </c>
      <c r="O27" s="154">
        <v>-73617</v>
      </c>
      <c r="P27" s="154">
        <v>-72589</v>
      </c>
      <c r="Q27" s="154">
        <v>-92661</v>
      </c>
      <c r="R27" s="154">
        <v>-24714</v>
      </c>
      <c r="S27" s="154">
        <v>-6063</v>
      </c>
      <c r="T27" s="154">
        <v>13177</v>
      </c>
      <c r="U27" s="154">
        <v>-4598</v>
      </c>
      <c r="V27" s="154">
        <v>-14037</v>
      </c>
      <c r="W27" s="154">
        <v>3229</v>
      </c>
      <c r="X27" s="154">
        <v>3948</v>
      </c>
      <c r="Y27" s="154"/>
      <c r="Z27" s="154">
        <v>-16468</v>
      </c>
      <c r="AA27" s="154">
        <v>-26526</v>
      </c>
      <c r="AB27" s="154">
        <v>-22688</v>
      </c>
      <c r="AC27" s="154">
        <v>-414694</v>
      </c>
      <c r="AD27" s="154">
        <f>Q27</f>
        <v>-92661</v>
      </c>
      <c r="AE27" s="154">
        <f t="shared" si="0"/>
        <v>-4598</v>
      </c>
    </row>
    <row r="28" spans="1:31" ht="5.25" customHeight="1">
      <c r="A28" s="161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ht="12.75">
      <c r="A29" s="162" t="s">
        <v>100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ht="12.75">
      <c r="A30" s="164" t="s">
        <v>101</v>
      </c>
      <c r="B30" s="165">
        <v>724364</v>
      </c>
      <c r="C30" s="165">
        <v>1278884</v>
      </c>
      <c r="D30" s="165">
        <v>2046864</v>
      </c>
      <c r="E30" s="165">
        <v>2621055</v>
      </c>
      <c r="F30" s="165">
        <v>667763</v>
      </c>
      <c r="G30" s="165">
        <v>1492061</v>
      </c>
      <c r="H30" s="165">
        <v>2341613</v>
      </c>
      <c r="I30" s="165">
        <v>3156827</v>
      </c>
      <c r="J30" s="165">
        <v>762941</v>
      </c>
      <c r="K30" s="165">
        <v>1990424</v>
      </c>
      <c r="L30" s="165">
        <v>3652498</v>
      </c>
      <c r="M30" s="165">
        <v>3131697</v>
      </c>
      <c r="N30" s="165">
        <v>-110473</v>
      </c>
      <c r="O30" s="165">
        <v>-34949</v>
      </c>
      <c r="P30" s="165">
        <v>300486</v>
      </c>
      <c r="Q30" s="165">
        <v>594739</v>
      </c>
      <c r="R30" s="165">
        <v>186770</v>
      </c>
      <c r="S30" s="165">
        <v>741658</v>
      </c>
      <c r="T30" s="165">
        <v>1402139</v>
      </c>
      <c r="U30" s="165">
        <v>1722288</v>
      </c>
      <c r="V30" s="165">
        <v>472686</v>
      </c>
      <c r="W30" s="165">
        <v>1170098</v>
      </c>
      <c r="X30" s="165">
        <v>1537853</v>
      </c>
      <c r="Y30" s="165"/>
      <c r="Z30" s="165">
        <v>1892274</v>
      </c>
      <c r="AA30" s="165">
        <v>2621055</v>
      </c>
      <c r="AB30" s="165">
        <v>3156827</v>
      </c>
      <c r="AC30" s="165">
        <v>3131697</v>
      </c>
      <c r="AD30" s="165">
        <f>Q30</f>
        <v>594739</v>
      </c>
      <c r="AE30" s="165">
        <f t="shared" si="0"/>
        <v>1722288</v>
      </c>
    </row>
    <row r="31" spans="1:31" ht="5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ht="12.75">
      <c r="A32" s="166" t="s">
        <v>102</v>
      </c>
      <c r="B32" s="154">
        <v>-176424</v>
      </c>
      <c r="C32" s="154">
        <v>-325970</v>
      </c>
      <c r="D32" s="154">
        <v>-522207</v>
      </c>
      <c r="E32" s="154">
        <v>-706605</v>
      </c>
      <c r="F32" s="154">
        <v>-216892</v>
      </c>
      <c r="G32" s="154">
        <v>-423979</v>
      </c>
      <c r="H32" s="154">
        <v>-641168</v>
      </c>
      <c r="I32" s="154">
        <v>-837003</v>
      </c>
      <c r="J32" s="154">
        <v>-128282</v>
      </c>
      <c r="K32" s="154">
        <v>-474960</v>
      </c>
      <c r="L32" s="155">
        <v>-853768</v>
      </c>
      <c r="M32" s="155">
        <v>-703474</v>
      </c>
      <c r="N32" s="155">
        <v>1439</v>
      </c>
      <c r="O32" s="154">
        <v>-26437</v>
      </c>
      <c r="P32" s="154">
        <v>-131536</v>
      </c>
      <c r="Q32" s="154">
        <v>-181784</v>
      </c>
      <c r="R32" s="154">
        <v>-52114</v>
      </c>
      <c r="S32" s="154">
        <v>-175601</v>
      </c>
      <c r="T32" s="154">
        <v>-301517</v>
      </c>
      <c r="U32" s="154">
        <v>-390972</v>
      </c>
      <c r="V32" s="154">
        <v>-107206</v>
      </c>
      <c r="W32" s="154">
        <v>-251564</v>
      </c>
      <c r="X32" s="154">
        <v>-400047</v>
      </c>
      <c r="Y32" s="154"/>
      <c r="Z32" s="154">
        <v>-497273</v>
      </c>
      <c r="AA32" s="154">
        <v>-706605</v>
      </c>
      <c r="AB32" s="154">
        <v>-837003</v>
      </c>
      <c r="AC32" s="154">
        <v>-703474</v>
      </c>
      <c r="AD32" s="154">
        <f>Q32</f>
        <v>-181784</v>
      </c>
      <c r="AE32" s="154">
        <f t="shared" si="0"/>
        <v>-390972</v>
      </c>
    </row>
    <row r="33" spans="1:31" ht="5.25" customHeight="1">
      <c r="A33" s="161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ht="12.75" hidden="1" outlineLevel="1">
      <c r="A34" s="161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>
        <f>Q34</f>
        <v>0</v>
      </c>
      <c r="AE34" s="155">
        <f t="shared" si="0"/>
        <v>0</v>
      </c>
    </row>
    <row r="35" spans="1:31" ht="12.75" customHeight="1" collapsed="1">
      <c r="A35" s="167" t="s">
        <v>103</v>
      </c>
      <c r="B35" s="168">
        <v>547940</v>
      </c>
      <c r="C35" s="168">
        <v>952914</v>
      </c>
      <c r="D35" s="168">
        <v>1524657</v>
      </c>
      <c r="E35" s="168">
        <v>1914450</v>
      </c>
      <c r="F35" s="168">
        <v>450871</v>
      </c>
      <c r="G35" s="168">
        <v>1068082</v>
      </c>
      <c r="H35" s="168">
        <v>1700445</v>
      </c>
      <c r="I35" s="168">
        <v>2319824</v>
      </c>
      <c r="J35" s="168">
        <v>634659</v>
      </c>
      <c r="K35" s="168">
        <v>1515464</v>
      </c>
      <c r="L35" s="168">
        <v>2798730</v>
      </c>
      <c r="M35" s="150">
        <v>2428223</v>
      </c>
      <c r="N35" s="150">
        <v>-109034</v>
      </c>
      <c r="O35" s="168">
        <v>-61386</v>
      </c>
      <c r="P35" s="168">
        <v>168950</v>
      </c>
      <c r="Q35" s="168">
        <v>412955</v>
      </c>
      <c r="R35" s="168">
        <v>134656</v>
      </c>
      <c r="S35" s="168">
        <v>566057</v>
      </c>
      <c r="T35" s="168">
        <v>1100622</v>
      </c>
      <c r="U35" s="168">
        <v>1331316</v>
      </c>
      <c r="V35" s="168">
        <v>365480</v>
      </c>
      <c r="W35" s="168">
        <v>918534</v>
      </c>
      <c r="X35" s="168">
        <v>1137806</v>
      </c>
      <c r="Y35" s="168"/>
      <c r="Z35" s="168">
        <v>1395001</v>
      </c>
      <c r="AA35" s="168">
        <v>1914450</v>
      </c>
      <c r="AB35" s="168">
        <v>2319824</v>
      </c>
      <c r="AC35" s="168">
        <v>2428223</v>
      </c>
      <c r="AD35" s="168">
        <f>Q35</f>
        <v>412955</v>
      </c>
      <c r="AE35" s="168">
        <f t="shared" si="0"/>
        <v>1331316</v>
      </c>
    </row>
    <row r="36" spans="1:31" ht="5.25" customHeight="1">
      <c r="A36" s="161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ht="12.75">
      <c r="A37" s="161" t="s">
        <v>8</v>
      </c>
      <c r="B37" s="155">
        <v>-3692</v>
      </c>
      <c r="C37" s="155">
        <v>-11900</v>
      </c>
      <c r="D37" s="155">
        <v>-15807</v>
      </c>
      <c r="E37" s="155">
        <v>-25773</v>
      </c>
      <c r="F37" s="155">
        <v>-5660</v>
      </c>
      <c r="G37" s="155">
        <v>-12067</v>
      </c>
      <c r="H37" s="155">
        <v>-18429</v>
      </c>
      <c r="I37" s="155">
        <v>-23490</v>
      </c>
      <c r="J37" s="155"/>
      <c r="K37" s="155">
        <v>-27422</v>
      </c>
      <c r="L37" s="155">
        <v>-101370</v>
      </c>
      <c r="M37" s="155">
        <v>1730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>
        <v>-21080</v>
      </c>
      <c r="AA37" s="155">
        <v>-25773</v>
      </c>
      <c r="AB37" s="155">
        <v>-23490</v>
      </c>
      <c r="AC37" s="155">
        <v>1730</v>
      </c>
      <c r="AD37" s="155"/>
      <c r="AE37" s="155"/>
    </row>
    <row r="38" spans="1:31" ht="5.25" customHeight="1">
      <c r="A38" s="161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12.75">
      <c r="A39" s="161" t="s">
        <v>51</v>
      </c>
      <c r="B39" s="155">
        <v>483</v>
      </c>
      <c r="C39" s="155">
        <v>492</v>
      </c>
      <c r="D39" s="155">
        <v>497</v>
      </c>
      <c r="E39" s="155">
        <v>501</v>
      </c>
      <c r="F39" s="155">
        <v>10180</v>
      </c>
      <c r="G39" s="155">
        <v>7729</v>
      </c>
      <c r="H39" s="155">
        <v>-25829</v>
      </c>
      <c r="I39" s="155">
        <v>-50312</v>
      </c>
      <c r="J39" s="155">
        <v>-7841</v>
      </c>
      <c r="K39" s="155">
        <v>42774</v>
      </c>
      <c r="L39" s="155">
        <v>62009</v>
      </c>
      <c r="M39" s="155">
        <v>-151212</v>
      </c>
      <c r="N39" s="155">
        <v>-142638</v>
      </c>
      <c r="O39" s="155">
        <v>-258805</v>
      </c>
      <c r="P39" s="155">
        <v>-344093</v>
      </c>
      <c r="Q39" s="155">
        <v>-314859</v>
      </c>
      <c r="R39" s="155">
        <v>-26716</v>
      </c>
      <c r="S39" s="155">
        <v>-5582</v>
      </c>
      <c r="T39" s="155">
        <v>-18862</v>
      </c>
      <c r="U39" s="155">
        <v>-107338</v>
      </c>
      <c r="V39" s="155">
        <v>15421</v>
      </c>
      <c r="W39" s="155">
        <v>53260</v>
      </c>
      <c r="X39" s="155">
        <v>54048</v>
      </c>
      <c r="Y39" s="155"/>
      <c r="Z39" s="155">
        <v>3701</v>
      </c>
      <c r="AA39" s="155">
        <v>501</v>
      </c>
      <c r="AB39" s="155">
        <v>-50312</v>
      </c>
      <c r="AC39" s="155">
        <v>-151212</v>
      </c>
      <c r="AD39" s="155">
        <f>Q39</f>
        <v>-314859</v>
      </c>
      <c r="AE39" s="155">
        <f t="shared" si="0"/>
        <v>-107338</v>
      </c>
    </row>
    <row r="40" spans="1:31" ht="5.25" customHeight="1">
      <c r="A40" s="161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2.75">
      <c r="A41" s="149" t="s">
        <v>104</v>
      </c>
      <c r="B41" s="150">
        <v>544731</v>
      </c>
      <c r="C41" s="150">
        <v>941506</v>
      </c>
      <c r="D41" s="150">
        <v>1509347</v>
      </c>
      <c r="E41" s="150">
        <v>1889178</v>
      </c>
      <c r="F41" s="150">
        <v>455391</v>
      </c>
      <c r="G41" s="150">
        <v>1063744</v>
      </c>
      <c r="H41" s="150">
        <v>1656187</v>
      </c>
      <c r="I41" s="150">
        <v>2246022</v>
      </c>
      <c r="J41" s="150">
        <v>617724</v>
      </c>
      <c r="K41" s="150">
        <v>1530816</v>
      </c>
      <c r="L41" s="150">
        <v>2759369</v>
      </c>
      <c r="M41" s="150">
        <v>2278741</v>
      </c>
      <c r="N41" s="150">
        <v>-251672</v>
      </c>
      <c r="O41" s="150">
        <v>-320191</v>
      </c>
      <c r="P41" s="150">
        <v>-175143</v>
      </c>
      <c r="Q41" s="150">
        <v>98096</v>
      </c>
      <c r="R41" s="150">
        <v>107940</v>
      </c>
      <c r="S41" s="150">
        <v>560475</v>
      </c>
      <c r="T41" s="150">
        <v>1081760</v>
      </c>
      <c r="U41" s="150">
        <v>1223978</v>
      </c>
      <c r="V41" s="150">
        <v>380901</v>
      </c>
      <c r="W41" s="150">
        <v>971794</v>
      </c>
      <c r="X41" s="150">
        <v>1191854</v>
      </c>
      <c r="Y41" s="150"/>
      <c r="Z41" s="150">
        <v>1377622</v>
      </c>
      <c r="AA41" s="150">
        <v>1889178</v>
      </c>
      <c r="AB41" s="150">
        <v>2246022</v>
      </c>
      <c r="AC41" s="150">
        <v>2278741</v>
      </c>
      <c r="AD41" s="150">
        <f>Q41</f>
        <v>98096</v>
      </c>
      <c r="AE41" s="150">
        <f t="shared" si="0"/>
        <v>1223978</v>
      </c>
    </row>
    <row r="42" spans="1:31" ht="5.2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</row>
    <row r="43" spans="1:31" ht="12.75">
      <c r="A43" s="149" t="s">
        <v>105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</row>
    <row r="44" spans="1:31" ht="5.2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</row>
    <row r="45" spans="1:31" ht="12.75">
      <c r="A45" s="161" t="s">
        <v>106</v>
      </c>
      <c r="B45" s="155">
        <v>1172</v>
      </c>
      <c r="C45" s="155">
        <v>2279</v>
      </c>
      <c r="D45" s="155">
        <v>226706</v>
      </c>
      <c r="E45" s="155">
        <v>228499</v>
      </c>
      <c r="F45" s="155">
        <v>1226</v>
      </c>
      <c r="G45" s="155">
        <v>1236</v>
      </c>
      <c r="H45" s="155">
        <v>1245</v>
      </c>
      <c r="I45" s="155">
        <v>1261</v>
      </c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>
        <v>3773</v>
      </c>
      <c r="AA45" s="155">
        <v>228499</v>
      </c>
      <c r="AB45" s="155">
        <v>1261</v>
      </c>
      <c r="AC45" s="155"/>
      <c r="AD45" s="155"/>
      <c r="AE45" s="155"/>
    </row>
    <row r="46" spans="1:31" ht="12.75">
      <c r="A46" s="161" t="s">
        <v>102</v>
      </c>
      <c r="B46" s="155"/>
      <c r="C46" s="155"/>
      <c r="D46" s="155">
        <v>-51334</v>
      </c>
      <c r="E46" s="155">
        <v>-51714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>
        <v>-51714</v>
      </c>
      <c r="AB46" s="155"/>
      <c r="AC46" s="155"/>
      <c r="AD46" s="155"/>
      <c r="AE46" s="155"/>
    </row>
    <row r="47" spans="1:31" ht="5.25" customHeight="1">
      <c r="A47" s="161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1:31" ht="12.75">
      <c r="A48" s="149" t="s">
        <v>107</v>
      </c>
      <c r="B48" s="150">
        <v>1172</v>
      </c>
      <c r="C48" s="150">
        <v>2279</v>
      </c>
      <c r="D48" s="150">
        <v>175372</v>
      </c>
      <c r="E48" s="150">
        <v>176785</v>
      </c>
      <c r="F48" s="150">
        <v>1226</v>
      </c>
      <c r="G48" s="150">
        <v>1236</v>
      </c>
      <c r="H48" s="150">
        <v>1245</v>
      </c>
      <c r="I48" s="150">
        <v>1261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>
        <v>3773</v>
      </c>
      <c r="AA48" s="150">
        <v>176785</v>
      </c>
      <c r="AB48" s="150">
        <v>1261</v>
      </c>
      <c r="AC48" s="150"/>
      <c r="AD48" s="150"/>
      <c r="AE48" s="150"/>
    </row>
    <row r="49" spans="1:31" ht="5.2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</row>
    <row r="50" spans="1:31" ht="12.75">
      <c r="A50" s="149" t="s">
        <v>9</v>
      </c>
      <c r="B50" s="150">
        <v>545903</v>
      </c>
      <c r="C50" s="150">
        <v>943785</v>
      </c>
      <c r="D50" s="150">
        <v>1684719</v>
      </c>
      <c r="E50" s="150">
        <v>2065963</v>
      </c>
      <c r="F50" s="150">
        <v>456617</v>
      </c>
      <c r="G50" s="150">
        <v>1064980</v>
      </c>
      <c r="H50" s="150">
        <v>1657432</v>
      </c>
      <c r="I50" s="150">
        <v>2247283</v>
      </c>
      <c r="J50" s="150">
        <v>626818</v>
      </c>
      <c r="K50" s="150">
        <v>1530816</v>
      </c>
      <c r="L50" s="150">
        <v>2759369</v>
      </c>
      <c r="M50" s="150">
        <v>2278741</v>
      </c>
      <c r="N50" s="150">
        <v>-251672</v>
      </c>
      <c r="O50" s="150">
        <v>-320191</v>
      </c>
      <c r="P50" s="150">
        <v>-175143</v>
      </c>
      <c r="Q50" s="150">
        <v>98096</v>
      </c>
      <c r="R50" s="150">
        <v>107940</v>
      </c>
      <c r="S50" s="150">
        <v>560475</v>
      </c>
      <c r="T50" s="150">
        <v>1081760</v>
      </c>
      <c r="U50" s="150">
        <v>1223978</v>
      </c>
      <c r="V50" s="150">
        <v>380901</v>
      </c>
      <c r="W50" s="150">
        <v>971794</v>
      </c>
      <c r="X50" s="150">
        <v>1191854</v>
      </c>
      <c r="Y50" s="150"/>
      <c r="Z50" s="150">
        <v>1381395</v>
      </c>
      <c r="AA50" s="150">
        <v>2065963</v>
      </c>
      <c r="AB50" s="150">
        <v>2247283</v>
      </c>
      <c r="AC50" s="150">
        <v>2278741</v>
      </c>
      <c r="AD50" s="150">
        <f>Q50</f>
        <v>98096</v>
      </c>
      <c r="AE50" s="150">
        <f t="shared" si="0"/>
        <v>1223978</v>
      </c>
    </row>
    <row r="51" spans="1:31" ht="5.2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</row>
    <row r="52" spans="1:31" ht="12.75">
      <c r="A52" s="161" t="s">
        <v>202</v>
      </c>
      <c r="B52" s="155"/>
      <c r="C52" s="155"/>
      <c r="D52" s="155"/>
      <c r="E52" s="155"/>
      <c r="F52" s="155"/>
      <c r="G52" s="155"/>
      <c r="H52" s="155"/>
      <c r="I52" s="155"/>
      <c r="J52" s="155">
        <v>-9094</v>
      </c>
      <c r="K52" s="155"/>
      <c r="L52" s="155"/>
      <c r="M52" s="155">
        <v>1730</v>
      </c>
      <c r="N52" s="155">
        <v>57851</v>
      </c>
      <c r="O52" s="155">
        <v>77270</v>
      </c>
      <c r="P52" s="155">
        <v>96020</v>
      </c>
      <c r="Q52" s="155">
        <v>116959</v>
      </c>
      <c r="R52" s="155">
        <v>23611</v>
      </c>
      <c r="S52" s="155">
        <v>29590</v>
      </c>
      <c r="T52" s="155">
        <v>24736</v>
      </c>
      <c r="U52" s="155">
        <v>31065</v>
      </c>
      <c r="V52" s="155">
        <v>11474</v>
      </c>
      <c r="W52" s="155">
        <v>7611</v>
      </c>
      <c r="X52" s="155">
        <v>12309</v>
      </c>
      <c r="Y52" s="155"/>
      <c r="Z52" s="155"/>
      <c r="AA52" s="155"/>
      <c r="AB52" s="155"/>
      <c r="AC52" s="155"/>
      <c r="AD52" s="155">
        <f>Q52</f>
        <v>116959</v>
      </c>
      <c r="AE52" s="155">
        <f t="shared" si="0"/>
        <v>31065</v>
      </c>
    </row>
    <row r="53" spans="1:31" ht="12.75">
      <c r="A53" s="161" t="s">
        <v>203</v>
      </c>
      <c r="B53" s="155"/>
      <c r="C53" s="155"/>
      <c r="D53" s="155"/>
      <c r="E53" s="155"/>
      <c r="F53" s="155"/>
      <c r="G53" s="155"/>
      <c r="H53" s="155"/>
      <c r="I53" s="155"/>
      <c r="J53" s="155">
        <v>617724</v>
      </c>
      <c r="K53" s="155"/>
      <c r="L53" s="155"/>
      <c r="M53" s="155">
        <v>2278741</v>
      </c>
      <c r="N53" s="155">
        <v>-193821</v>
      </c>
      <c r="O53" s="155">
        <v>-242921</v>
      </c>
      <c r="P53" s="155">
        <v>-79123</v>
      </c>
      <c r="Q53" s="155">
        <v>215055</v>
      </c>
      <c r="R53" s="155">
        <v>131551</v>
      </c>
      <c r="S53" s="155">
        <v>590065</v>
      </c>
      <c r="T53" s="155">
        <v>1106496</v>
      </c>
      <c r="U53" s="155">
        <v>1255043</v>
      </c>
      <c r="V53" s="155">
        <v>392375</v>
      </c>
      <c r="W53" s="155">
        <v>979405</v>
      </c>
      <c r="X53" s="155">
        <v>1204163</v>
      </c>
      <c r="Y53" s="155"/>
      <c r="Z53" s="155"/>
      <c r="AA53" s="155"/>
      <c r="AB53" s="155"/>
      <c r="AC53" s="155"/>
      <c r="AD53" s="155">
        <f>Q53</f>
        <v>215055</v>
      </c>
      <c r="AE53" s="155">
        <f t="shared" si="0"/>
        <v>1255043</v>
      </c>
    </row>
    <row r="54" spans="1:31" ht="5.25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5"/>
      <c r="M54" s="155"/>
      <c r="N54" s="155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</row>
    <row r="55" spans="1:31" ht="13.5" thickBot="1">
      <c r="A55" s="169" t="s">
        <v>2</v>
      </c>
      <c r="B55" s="170">
        <v>443952</v>
      </c>
      <c r="C55" s="170">
        <v>1059278</v>
      </c>
      <c r="D55" s="170">
        <v>1899109</v>
      </c>
      <c r="E55" s="170">
        <v>2705668</v>
      </c>
      <c r="F55" s="170">
        <v>726080</v>
      </c>
      <c r="G55" s="170">
        <v>1547534</v>
      </c>
      <c r="H55" s="170">
        <v>2433143</v>
      </c>
      <c r="I55" s="170">
        <v>3336054</v>
      </c>
      <c r="J55" s="170">
        <v>854613</v>
      </c>
      <c r="K55" s="170">
        <v>2234079</v>
      </c>
      <c r="L55" s="170">
        <v>4019761</v>
      </c>
      <c r="M55" s="170">
        <v>4537952</v>
      </c>
      <c r="N55" s="170">
        <v>196654</v>
      </c>
      <c r="O55" s="170">
        <v>430959</v>
      </c>
      <c r="P55" s="170">
        <v>916661</v>
      </c>
      <c r="Q55" s="170">
        <v>1444249</v>
      </c>
      <c r="R55" s="170">
        <v>386352</v>
      </c>
      <c r="S55" s="170">
        <v>1160568</v>
      </c>
      <c r="T55" s="170">
        <v>1855511</v>
      </c>
      <c r="U55" s="170">
        <v>2348654</v>
      </c>
      <c r="V55" s="170">
        <v>584890</v>
      </c>
      <c r="W55" s="170">
        <v>1421994</v>
      </c>
      <c r="X55" s="170">
        <v>1899717</v>
      </c>
      <c r="Y55" s="170"/>
      <c r="Z55" s="171">
        <v>2089352</v>
      </c>
      <c r="AA55" s="171">
        <v>2705668</v>
      </c>
      <c r="AB55" s="171">
        <v>3336054</v>
      </c>
      <c r="AC55" s="171">
        <v>4537952</v>
      </c>
      <c r="AD55" s="171">
        <f>Q55</f>
        <v>1444249</v>
      </c>
      <c r="AE55" s="170">
        <f t="shared" si="0"/>
        <v>2348654</v>
      </c>
    </row>
    <row r="56" spans="1:31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5"/>
      <c r="M56" s="155"/>
      <c r="N56" s="155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</row>
    <row r="57" spans="1:31" ht="13.5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5"/>
      <c r="M57" s="155"/>
      <c r="N57" s="15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</row>
    <row r="58" spans="1:31" s="174" customFormat="1" ht="12" thickBot="1">
      <c r="A58" s="172" t="s">
        <v>108</v>
      </c>
      <c r="B58" s="172">
        <v>0.40849128043658084</v>
      </c>
      <c r="C58" s="172">
        <v>0.4167129231683114</v>
      </c>
      <c r="D58" s="172">
        <v>0.4432030234092982</v>
      </c>
      <c r="E58" s="172">
        <v>0.4475414866122196</v>
      </c>
      <c r="F58" s="172">
        <v>0.4148635043761563</v>
      </c>
      <c r="G58" s="172">
        <v>0.4287891730826618</v>
      </c>
      <c r="H58" s="172">
        <v>0.4387553856177116</v>
      </c>
      <c r="I58" s="172">
        <v>0.4321839145979025</v>
      </c>
      <c r="J58" s="172">
        <v>0.36316131664159507</v>
      </c>
      <c r="K58" s="172">
        <v>0.3797118982612053</v>
      </c>
      <c r="L58" s="173">
        <v>0.41699254358479515</v>
      </c>
      <c r="M58" s="173">
        <v>0.3879035387041303</v>
      </c>
      <c r="N58" s="173">
        <v>0.1520529240114248</v>
      </c>
      <c r="O58" s="172">
        <f aca="true" t="shared" si="1" ref="O58:X58">O55/O3</f>
        <v>0.16663399401684517</v>
      </c>
      <c r="P58" s="172">
        <f t="shared" si="1"/>
        <v>0.2119285206149541</v>
      </c>
      <c r="Q58" s="172">
        <f t="shared" si="1"/>
        <v>0.23522372939602387</v>
      </c>
      <c r="R58" s="172">
        <f t="shared" si="1"/>
        <v>0.22760836600013432</v>
      </c>
      <c r="S58" s="172">
        <f t="shared" si="1"/>
        <v>0.30120151731268724</v>
      </c>
      <c r="T58" s="172">
        <f t="shared" si="1"/>
        <v>0.3049502057312878</v>
      </c>
      <c r="U58" s="172">
        <f t="shared" si="1"/>
        <v>0.2812507334672295</v>
      </c>
      <c r="V58" s="172">
        <f t="shared" si="1"/>
        <v>0.24795262832583967</v>
      </c>
      <c r="W58" s="172">
        <f t="shared" si="1"/>
        <v>0.2662339254972482</v>
      </c>
      <c r="X58" s="172">
        <f t="shared" si="1"/>
        <v>0.2189845969800753</v>
      </c>
      <c r="Y58" s="172"/>
      <c r="Z58" s="172">
        <v>0.47747820630073634</v>
      </c>
      <c r="AA58" s="172">
        <v>0.4475414866122196</v>
      </c>
      <c r="AB58" s="172">
        <v>0.4321839145979025</v>
      </c>
      <c r="AC58" s="172">
        <v>0.3879035387041303</v>
      </c>
      <c r="AD58" s="172">
        <f aca="true" t="shared" si="2" ref="AD58:AE61">Q58</f>
        <v>0.23522372939602387</v>
      </c>
      <c r="AE58" s="172">
        <f t="shared" si="2"/>
        <v>0.22760836600013432</v>
      </c>
    </row>
    <row r="59" spans="1:31" s="174" customFormat="1" ht="12" thickBot="1">
      <c r="A59" s="172" t="s">
        <v>109</v>
      </c>
      <c r="B59" s="172">
        <v>0.34634328571073664</v>
      </c>
      <c r="C59" s="172">
        <v>0.36260284777447543</v>
      </c>
      <c r="D59" s="172">
        <v>0.39114564323060824</v>
      </c>
      <c r="E59" s="172">
        <v>0.37106916158378994</v>
      </c>
      <c r="F59" s="172">
        <v>0.3657630190507643</v>
      </c>
      <c r="G59" s="172">
        <v>0.3835119707825736</v>
      </c>
      <c r="H59" s="172">
        <v>0.3933817648975567</v>
      </c>
      <c r="I59" s="172">
        <v>0.3884372723573502</v>
      </c>
      <c r="J59" s="172">
        <v>0.32993039443155453</v>
      </c>
      <c r="K59" s="172">
        <v>0.35177618661720955</v>
      </c>
      <c r="L59" s="173">
        <v>0.3921652816054794</v>
      </c>
      <c r="M59" s="173">
        <v>0.3471610981803815</v>
      </c>
      <c r="N59" s="173">
        <v>0.07661718700466859</v>
      </c>
      <c r="O59" s="172">
        <f aca="true" t="shared" si="3" ref="O59:V59">O17/O3</f>
        <v>0.07909526532704936</v>
      </c>
      <c r="P59" s="172">
        <f t="shared" si="3"/>
        <v>0.125896954475854</v>
      </c>
      <c r="Q59" s="172">
        <f t="shared" si="3"/>
        <v>0.1452664907136034</v>
      </c>
      <c r="R59" s="172">
        <f t="shared" si="3"/>
        <v>0.15579913776140805</v>
      </c>
      <c r="S59" s="172">
        <f t="shared" si="3"/>
        <v>0.23127936575166982</v>
      </c>
      <c r="T59" s="172">
        <f t="shared" si="3"/>
        <v>0.24002060271148512</v>
      </c>
      <c r="U59" s="172">
        <f t="shared" si="3"/>
        <v>0.21490170700876138</v>
      </c>
      <c r="V59" s="172">
        <f t="shared" si="3"/>
        <v>0.1964531442490879</v>
      </c>
      <c r="W59" s="172">
        <f>W17/W3</f>
        <v>0.21578069870786132</v>
      </c>
      <c r="X59" s="172">
        <f>X17/X3</f>
        <v>0.1640867783108862</v>
      </c>
      <c r="Y59" s="172"/>
      <c r="Z59" s="172">
        <v>0.4214135635812008</v>
      </c>
      <c r="AA59" s="172">
        <v>0.37106916158378994</v>
      </c>
      <c r="AB59" s="172">
        <v>0.3884372723573502</v>
      </c>
      <c r="AC59" s="172">
        <v>0.3471610981803815</v>
      </c>
      <c r="AD59" s="172">
        <f t="shared" si="2"/>
        <v>0.1452664907136034</v>
      </c>
      <c r="AE59" s="172">
        <f t="shared" si="2"/>
        <v>0.15579913776140805</v>
      </c>
    </row>
    <row r="60" spans="1:31" s="178" customFormat="1" ht="12" thickBot="1">
      <c r="A60" s="175" t="s">
        <v>43</v>
      </c>
      <c r="B60" s="176">
        <v>0.09108665133811945</v>
      </c>
      <c r="C60" s="176">
        <v>0.15747525702028944</v>
      </c>
      <c r="D60" s="176">
        <v>0.28110380810456304</v>
      </c>
      <c r="E60" s="176">
        <v>0.3447162801055413</v>
      </c>
      <c r="F60" s="176">
        <v>0.0761888347821098</v>
      </c>
      <c r="G60" s="176">
        <v>0.17769725013797408</v>
      </c>
      <c r="H60" s="176">
        <v>0.27655083540600073</v>
      </c>
      <c r="I60" s="176">
        <v>0.3749704307891386</v>
      </c>
      <c r="J60" s="176">
        <v>0.10307034511843405</v>
      </c>
      <c r="K60" s="176">
        <v>0.25542432127102194</v>
      </c>
      <c r="L60" s="177">
        <v>0.4604145462036577</v>
      </c>
      <c r="M60" s="177">
        <v>0.380219355740631</v>
      </c>
      <c r="N60" s="177">
        <v>-0.0323</v>
      </c>
      <c r="O60" s="176">
        <f aca="true" t="shared" si="4" ref="O60:V60">O53/5993227240*1000</f>
        <v>-0.04053258624647111</v>
      </c>
      <c r="P60" s="176">
        <f t="shared" si="4"/>
        <v>-0.013202069074223857</v>
      </c>
      <c r="Q60" s="176">
        <f t="shared" si="4"/>
        <v>0.035883004496255345</v>
      </c>
      <c r="R60" s="176">
        <f t="shared" si="4"/>
        <v>0.021949943616688228</v>
      </c>
      <c r="S60" s="176">
        <f t="shared" si="4"/>
        <v>0.09845530235559699</v>
      </c>
      <c r="T60" s="176">
        <f t="shared" si="4"/>
        <v>0.18462440279504572</v>
      </c>
      <c r="U60" s="176">
        <f t="shared" si="4"/>
        <v>0.20941021418703956</v>
      </c>
      <c r="V60" s="176">
        <f t="shared" si="4"/>
        <v>0.06546973513388757</v>
      </c>
      <c r="W60" s="176">
        <f>W53/5993227240*1000</f>
        <v>0.16341863252960856</v>
      </c>
      <c r="X60" s="176">
        <f>X53/5993227240*1000</f>
        <v>0.2009206312023637</v>
      </c>
      <c r="Y60" s="176"/>
      <c r="Z60" s="176">
        <v>0.23049267859898467</v>
      </c>
      <c r="AA60" s="176">
        <v>0.3447162801055413</v>
      </c>
      <c r="AB60" s="176">
        <v>0.3749704307891386</v>
      </c>
      <c r="AC60" s="176">
        <v>0.380219355740631</v>
      </c>
      <c r="AD60" s="176">
        <f t="shared" si="2"/>
        <v>0.035883004496255345</v>
      </c>
      <c r="AE60" s="176">
        <f t="shared" si="2"/>
        <v>0.021949943616688228</v>
      </c>
    </row>
    <row r="61" spans="1:31" s="178" customFormat="1" ht="12" thickBot="1">
      <c r="A61" s="175" t="s">
        <v>110</v>
      </c>
      <c r="B61" s="179"/>
      <c r="C61" s="179">
        <v>0.0561</v>
      </c>
      <c r="D61" s="179"/>
      <c r="E61" s="179">
        <v>0.114</v>
      </c>
      <c r="F61" s="179"/>
      <c r="G61" s="179">
        <v>0.0601</v>
      </c>
      <c r="H61" s="179"/>
      <c r="I61" s="179">
        <v>0.1231</v>
      </c>
      <c r="J61" s="179"/>
      <c r="K61" s="180">
        <v>0.0786</v>
      </c>
      <c r="L61" s="181"/>
      <c r="M61" s="180">
        <v>0.0786</v>
      </c>
      <c r="N61" s="180"/>
      <c r="O61" s="180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>
        <v>0.1101</v>
      </c>
      <c r="AA61" s="179">
        <v>0.114</v>
      </c>
      <c r="AB61" s="179">
        <v>0.1231</v>
      </c>
      <c r="AC61" s="179">
        <v>0.0786</v>
      </c>
      <c r="AD61" s="179">
        <f t="shared" si="2"/>
        <v>0</v>
      </c>
      <c r="AE61" s="179">
        <f t="shared" si="2"/>
        <v>0</v>
      </c>
    </row>
    <row r="62" spans="1:31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E62" s="161"/>
    </row>
    <row r="63" spans="2:31" ht="12.75"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E63" s="182"/>
    </row>
    <row r="64" spans="1:31" ht="12.75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E64" s="184"/>
    </row>
    <row r="65" ht="12.75">
      <c r="A65" s="81"/>
    </row>
    <row r="66" ht="12.75">
      <c r="A66" s="81"/>
    </row>
    <row r="67" ht="12.75">
      <c r="A67" s="81"/>
    </row>
    <row r="68" ht="12.75">
      <c r="A68" s="81"/>
    </row>
    <row r="69" ht="12.75">
      <c r="A69" s="81"/>
    </row>
    <row r="70" ht="12.75">
      <c r="A70" s="81"/>
    </row>
    <row r="71" ht="12.75">
      <c r="A71" s="81"/>
    </row>
    <row r="72" ht="12.75">
      <c r="A72" s="81"/>
    </row>
    <row r="73" ht="12.75">
      <c r="A73" s="81"/>
    </row>
    <row r="74" ht="12.75">
      <c r="A74" s="81"/>
    </row>
    <row r="75" ht="12.75">
      <c r="A75" s="81"/>
    </row>
    <row r="76" ht="12.75">
      <c r="A76" s="81"/>
    </row>
    <row r="77" ht="12.75">
      <c r="A77" s="81"/>
    </row>
    <row r="78" ht="12.75">
      <c r="A78" s="81"/>
    </row>
    <row r="79" ht="12.75">
      <c r="A79" s="81"/>
    </row>
    <row r="80" ht="12.75">
      <c r="A80" s="81"/>
    </row>
    <row r="81" ht="12.75">
      <c r="A81" s="81"/>
    </row>
    <row r="82" ht="12.75">
      <c r="A82" s="81"/>
    </row>
    <row r="83" ht="12.75">
      <c r="A83" s="81"/>
    </row>
    <row r="84" ht="12.75">
      <c r="A84" s="81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1"/>
    </row>
    <row r="90" ht="12.75">
      <c r="A90" s="81"/>
    </row>
    <row r="91" ht="12.75">
      <c r="A91" s="81"/>
    </row>
    <row r="92" ht="12.75">
      <c r="A92" s="81"/>
    </row>
    <row r="93" ht="12.75">
      <c r="A93" s="81"/>
    </row>
    <row r="94" ht="12.75">
      <c r="A94" s="81"/>
    </row>
    <row r="95" ht="12.75">
      <c r="A95" s="81"/>
    </row>
    <row r="96" ht="12.75">
      <c r="A96" s="81"/>
    </row>
    <row r="97" ht="12.75">
      <c r="A97" s="81"/>
    </row>
    <row r="98" ht="12.75">
      <c r="A98" s="81"/>
    </row>
    <row r="99" ht="12.75">
      <c r="A99" s="81"/>
    </row>
    <row r="100" ht="12.75">
      <c r="A100" s="81"/>
    </row>
    <row r="101" ht="12.75">
      <c r="A101" s="81"/>
    </row>
    <row r="102" ht="12.75">
      <c r="A102" s="81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  <row r="108" ht="12.75">
      <c r="A108" s="81"/>
    </row>
    <row r="109" ht="12.75">
      <c r="A109" s="81"/>
    </row>
    <row r="110" ht="12.75">
      <c r="A110" s="81"/>
    </row>
    <row r="111" ht="12.75">
      <c r="A111" s="81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  <row r="116" ht="12.75">
      <c r="A116" s="81"/>
    </row>
    <row r="117" ht="12.75">
      <c r="A117" s="81"/>
    </row>
    <row r="118" ht="12.75">
      <c r="A118" s="81"/>
    </row>
    <row r="119" ht="12.75">
      <c r="A119" s="81"/>
    </row>
    <row r="120" ht="12.75">
      <c r="A120" s="81"/>
    </row>
    <row r="121" ht="12.75">
      <c r="A121" s="81"/>
    </row>
    <row r="122" ht="12.75">
      <c r="A122" s="81"/>
    </row>
    <row r="123" ht="12.75">
      <c r="A123" s="81"/>
    </row>
    <row r="124" ht="12.75">
      <c r="A124" s="81"/>
    </row>
    <row r="125" ht="12.75">
      <c r="A125" s="81"/>
    </row>
    <row r="126" ht="12.75">
      <c r="A126" s="81"/>
    </row>
    <row r="127" ht="12.75">
      <c r="A127" s="81"/>
    </row>
    <row r="128" ht="12.75">
      <c r="A128" s="81"/>
    </row>
    <row r="129" ht="12.75">
      <c r="A129" s="81"/>
    </row>
    <row r="130" ht="12.75">
      <c r="A130" s="81"/>
    </row>
    <row r="131" ht="12.75">
      <c r="A131" s="81"/>
    </row>
    <row r="132" ht="12.75">
      <c r="A132" s="81"/>
    </row>
    <row r="133" ht="12.75">
      <c r="A133" s="81"/>
    </row>
    <row r="134" ht="12.75">
      <c r="A134" s="81"/>
    </row>
    <row r="135" ht="12.75">
      <c r="A135" s="81"/>
    </row>
    <row r="136" ht="12.75">
      <c r="A136" s="81"/>
    </row>
    <row r="137" ht="12.75">
      <c r="A137" s="81"/>
    </row>
    <row r="138" ht="12.75">
      <c r="A138" s="81"/>
    </row>
    <row r="139" ht="12.75">
      <c r="A139" s="81"/>
    </row>
    <row r="140" ht="12.75">
      <c r="A140" s="81"/>
    </row>
    <row r="141" ht="12.75">
      <c r="A141" s="81"/>
    </row>
    <row r="142" ht="12.75">
      <c r="A142" s="81"/>
    </row>
    <row r="143" ht="12.75">
      <c r="A143" s="81"/>
    </row>
    <row r="144" ht="12.75">
      <c r="A144" s="81"/>
    </row>
    <row r="145" ht="12.75">
      <c r="A145" s="81"/>
    </row>
    <row r="146" ht="12.75">
      <c r="A146" s="81"/>
    </row>
    <row r="147" ht="12.75">
      <c r="A147" s="81"/>
    </row>
    <row r="148" ht="12.75">
      <c r="A148" s="81"/>
    </row>
    <row r="149" ht="12.75">
      <c r="A149" s="81"/>
    </row>
    <row r="150" ht="12.75">
      <c r="A150" s="81"/>
    </row>
    <row r="151" ht="12.75">
      <c r="A151" s="81"/>
    </row>
    <row r="152" ht="12.75">
      <c r="A152" s="81"/>
    </row>
    <row r="153" ht="12.75">
      <c r="A153" s="81"/>
    </row>
    <row r="154" ht="12.75">
      <c r="A154" s="81"/>
    </row>
    <row r="155" ht="12.75">
      <c r="A155" s="81"/>
    </row>
    <row r="156" ht="12.75">
      <c r="A156" s="81"/>
    </row>
    <row r="157" ht="12.75">
      <c r="A157" s="81"/>
    </row>
    <row r="158" ht="12.75">
      <c r="A158" s="81"/>
    </row>
    <row r="159" ht="12.75">
      <c r="A159" s="8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5"/>
  <sheetViews>
    <sheetView showGridLines="0" view="pageBreakPreview" zoomScaleNormal="85" zoomScaleSheetLayoutView="100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69" sqref="X69"/>
    </sheetView>
  </sheetViews>
  <sheetFormatPr defaultColWidth="9.140625" defaultRowHeight="12.75" outlineLevelCol="1"/>
  <cols>
    <col min="1" max="1" width="59.8515625" style="178" customWidth="1"/>
    <col min="2" max="3" width="7.7109375" style="201" hidden="1" customWidth="1" outlineLevel="1"/>
    <col min="4" max="5" width="8.57421875" style="201" hidden="1" customWidth="1" outlineLevel="1"/>
    <col min="6" max="6" width="7.7109375" style="201" hidden="1" customWidth="1" outlineLevel="1"/>
    <col min="7" max="8" width="8.7109375" style="201" hidden="1" customWidth="1" outlineLevel="1"/>
    <col min="9" max="9" width="9.8515625" style="201" hidden="1" customWidth="1" outlineLevel="1"/>
    <col min="10" max="10" width="7.7109375" style="201" hidden="1" customWidth="1" outlineLevel="1"/>
    <col min="11" max="12" width="8.57421875" style="201" hidden="1" customWidth="1" outlineLevel="1"/>
    <col min="13" max="13" width="8.57421875" style="201" customWidth="1" collapsed="1"/>
    <col min="14" max="15" width="8.57421875" style="201" customWidth="1"/>
    <col min="16" max="16" width="8.8515625" style="201" bestFit="1" customWidth="1"/>
    <col min="17" max="24" width="8.421875" style="201" customWidth="1"/>
    <col min="25" max="25" width="7.7109375" style="201" customWidth="1"/>
    <col min="26" max="28" width="8.57421875" style="201" customWidth="1"/>
    <col min="29" max="30" width="9.28125" style="178" bestFit="1" customWidth="1"/>
    <col min="31" max="16384" width="9.140625" style="178" customWidth="1"/>
  </cols>
  <sheetData>
    <row r="1" spans="1:30" ht="12" thickBot="1">
      <c r="A1" s="144" t="s">
        <v>170</v>
      </c>
      <c r="B1" s="185" t="s">
        <v>7</v>
      </c>
      <c r="C1" s="185" t="s">
        <v>26</v>
      </c>
      <c r="D1" s="185" t="s">
        <v>27</v>
      </c>
      <c r="E1" s="185" t="s">
        <v>28</v>
      </c>
      <c r="F1" s="185" t="s">
        <v>0</v>
      </c>
      <c r="G1" s="185" t="s">
        <v>25</v>
      </c>
      <c r="H1" s="185" t="s">
        <v>24</v>
      </c>
      <c r="I1" s="185" t="s">
        <v>153</v>
      </c>
      <c r="J1" s="186" t="s">
        <v>188</v>
      </c>
      <c r="K1" s="186" t="s">
        <v>191</v>
      </c>
      <c r="L1" s="146" t="s">
        <v>193</v>
      </c>
      <c r="M1" s="185" t="s">
        <v>194</v>
      </c>
      <c r="N1" s="185" t="s">
        <v>201</v>
      </c>
      <c r="O1" s="185" t="s">
        <v>211</v>
      </c>
      <c r="P1" s="186" t="s">
        <v>215</v>
      </c>
      <c r="Q1" s="186" t="s">
        <v>217</v>
      </c>
      <c r="R1" s="186" t="s">
        <v>219</v>
      </c>
      <c r="S1" s="186" t="s">
        <v>241</v>
      </c>
      <c r="T1" s="146" t="s">
        <v>246</v>
      </c>
      <c r="U1" s="146" t="s">
        <v>248</v>
      </c>
      <c r="V1" s="146" t="s">
        <v>251</v>
      </c>
      <c r="W1" s="186" t="s">
        <v>252</v>
      </c>
      <c r="X1" s="146" t="s">
        <v>254</v>
      </c>
      <c r="Y1" s="186"/>
      <c r="Z1" s="185">
        <v>2006</v>
      </c>
      <c r="AA1" s="185">
        <v>2007</v>
      </c>
      <c r="AB1" s="185">
        <v>2008</v>
      </c>
      <c r="AC1" s="185">
        <v>2009</v>
      </c>
      <c r="AD1" s="185">
        <v>2010</v>
      </c>
    </row>
    <row r="2" spans="1:30" s="191" customFormat="1" ht="11.25">
      <c r="A2" s="187" t="s">
        <v>44</v>
      </c>
      <c r="B2" s="188"/>
      <c r="C2" s="187"/>
      <c r="D2" s="187"/>
      <c r="E2" s="187"/>
      <c r="F2" s="187"/>
      <c r="G2" s="187"/>
      <c r="H2" s="187"/>
      <c r="I2" s="187"/>
      <c r="J2" s="189"/>
      <c r="K2" s="189"/>
      <c r="L2" s="190"/>
      <c r="M2" s="190"/>
      <c r="N2" s="190"/>
      <c r="O2" s="190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7"/>
      <c r="AA2" s="187"/>
      <c r="AB2" s="187"/>
      <c r="AC2" s="187"/>
      <c r="AD2" s="187"/>
    </row>
    <row r="3" spans="1:30" s="191" customFormat="1" ht="11.25">
      <c r="A3" s="192" t="s">
        <v>9</v>
      </c>
      <c r="B3" s="193">
        <v>545903</v>
      </c>
      <c r="C3" s="193">
        <v>943785</v>
      </c>
      <c r="D3" s="193">
        <v>1684719</v>
      </c>
      <c r="E3" s="193">
        <v>2065963</v>
      </c>
      <c r="F3" s="193">
        <v>456617</v>
      </c>
      <c r="G3" s="193">
        <v>1064980</v>
      </c>
      <c r="H3" s="193">
        <v>1657432</v>
      </c>
      <c r="I3" s="193">
        <v>2247283</v>
      </c>
      <c r="J3" s="194">
        <v>617724</v>
      </c>
      <c r="K3" s="194">
        <v>1530816</v>
      </c>
      <c r="L3" s="195">
        <v>2759369</v>
      </c>
      <c r="M3" s="195">
        <v>2278741</v>
      </c>
      <c r="N3" s="195">
        <v>-251672</v>
      </c>
      <c r="O3" s="195">
        <v>-320191</v>
      </c>
      <c r="P3" s="194">
        <v>-175143</v>
      </c>
      <c r="Q3" s="194">
        <v>98096</v>
      </c>
      <c r="R3" s="194">
        <v>107940</v>
      </c>
      <c r="S3" s="194">
        <v>560475</v>
      </c>
      <c r="T3" s="194">
        <v>1081760</v>
      </c>
      <c r="U3" s="194">
        <v>1223978</v>
      </c>
      <c r="V3" s="194">
        <v>380901</v>
      </c>
      <c r="W3" s="194">
        <v>971794</v>
      </c>
      <c r="X3" s="194">
        <v>1191854</v>
      </c>
      <c r="Y3" s="194"/>
      <c r="Z3" s="193">
        <v>2065963</v>
      </c>
      <c r="AA3" s="193">
        <v>2247283</v>
      </c>
      <c r="AB3" s="193">
        <v>2278741</v>
      </c>
      <c r="AC3" s="193">
        <f>Q3</f>
        <v>98096</v>
      </c>
      <c r="AD3" s="193">
        <f>U3</f>
        <v>1223978</v>
      </c>
    </row>
    <row r="4" spans="1:30" s="191" customFormat="1" ht="11.25">
      <c r="A4" s="196" t="s">
        <v>45</v>
      </c>
      <c r="B4" s="193"/>
      <c r="C4" s="193"/>
      <c r="D4" s="193"/>
      <c r="E4" s="193"/>
      <c r="F4" s="193"/>
      <c r="G4" s="193"/>
      <c r="H4" s="193"/>
      <c r="I4" s="193"/>
      <c r="J4" s="194"/>
      <c r="K4" s="194"/>
      <c r="L4" s="195"/>
      <c r="M4" s="195"/>
      <c r="N4" s="195"/>
      <c r="O4" s="195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3"/>
      <c r="AA4" s="193"/>
      <c r="AB4" s="193"/>
      <c r="AC4" s="193"/>
      <c r="AD4" s="193"/>
    </row>
    <row r="5" spans="1:30" s="191" customFormat="1" ht="11.25">
      <c r="A5" s="188" t="s">
        <v>8</v>
      </c>
      <c r="B5" s="197">
        <v>4819</v>
      </c>
      <c r="C5" s="197">
        <v>11900</v>
      </c>
      <c r="D5" s="197">
        <v>15807</v>
      </c>
      <c r="E5" s="197">
        <v>25773</v>
      </c>
      <c r="F5" s="197">
        <v>6838</v>
      </c>
      <c r="G5" s="197">
        <v>13148</v>
      </c>
      <c r="H5" s="197">
        <v>19518</v>
      </c>
      <c r="I5" s="197">
        <v>24592</v>
      </c>
      <c r="J5" s="198">
        <v>9094</v>
      </c>
      <c r="K5" s="198">
        <v>27422</v>
      </c>
      <c r="L5" s="199">
        <v>101370</v>
      </c>
      <c r="M5" s="199">
        <v>-1730</v>
      </c>
      <c r="N5" s="199"/>
      <c r="O5" s="199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7">
        <v>25773</v>
      </c>
      <c r="AA5" s="197">
        <v>24592</v>
      </c>
      <c r="AB5" s="197">
        <v>-1730</v>
      </c>
      <c r="AC5" s="197"/>
      <c r="AD5" s="197"/>
    </row>
    <row r="6" spans="1:30" s="191" customFormat="1" ht="11.25">
      <c r="A6" s="188" t="s">
        <v>46</v>
      </c>
      <c r="B6" s="197">
        <v>73701</v>
      </c>
      <c r="C6" s="197">
        <v>158305</v>
      </c>
      <c r="D6" s="197">
        <v>250018</v>
      </c>
      <c r="E6" s="197">
        <v>357941</v>
      </c>
      <c r="F6" s="197">
        <v>102342</v>
      </c>
      <c r="G6" s="197">
        <v>197752</v>
      </c>
      <c r="H6" s="197">
        <v>297161</v>
      </c>
      <c r="I6" s="197">
        <v>407699</v>
      </c>
      <c r="J6" s="198">
        <v>119354</v>
      </c>
      <c r="K6" s="198">
        <v>245884</v>
      </c>
      <c r="L6" s="199">
        <v>379690</v>
      </c>
      <c r="M6" s="199">
        <v>498994</v>
      </c>
      <c r="N6" s="199">
        <v>96625</v>
      </c>
      <c r="O6" s="199">
        <v>222745</v>
      </c>
      <c r="P6" s="198">
        <v>348684</v>
      </c>
      <c r="Q6" s="198">
        <v>478116</v>
      </c>
      <c r="R6" s="198">
        <v>122995</v>
      </c>
      <c r="S6" s="198">
        <v>245892</v>
      </c>
      <c r="T6" s="198">
        <v>357160</v>
      </c>
      <c r="U6" s="198">
        <v>469418</v>
      </c>
      <c r="V6" s="198">
        <v>124044</v>
      </c>
      <c r="W6" s="198">
        <v>258638</v>
      </c>
      <c r="X6" s="198">
        <v>459988</v>
      </c>
      <c r="Y6" s="198"/>
      <c r="Z6" s="197">
        <v>357941</v>
      </c>
      <c r="AA6" s="197">
        <v>407699</v>
      </c>
      <c r="AB6" s="197">
        <v>498994</v>
      </c>
      <c r="AC6" s="197">
        <f>Q6</f>
        <v>478116</v>
      </c>
      <c r="AD6" s="197">
        <f>U6</f>
        <v>469418</v>
      </c>
    </row>
    <row r="7" spans="1:30" s="191" customFormat="1" ht="11.25">
      <c r="A7" s="188" t="s">
        <v>47</v>
      </c>
      <c r="B7" s="197">
        <v>1492</v>
      </c>
      <c r="C7" s="197">
        <v>2719</v>
      </c>
      <c r="D7" s="197">
        <v>4763</v>
      </c>
      <c r="E7" s="197">
        <v>3582</v>
      </c>
      <c r="F7" s="197">
        <v>12609</v>
      </c>
      <c r="G7" s="197">
        <v>19791</v>
      </c>
      <c r="H7" s="197">
        <v>24575</v>
      </c>
      <c r="I7" s="197">
        <v>27285</v>
      </c>
      <c r="J7" s="198">
        <v>-6097</v>
      </c>
      <c r="K7" s="198">
        <v>580</v>
      </c>
      <c r="L7" s="199">
        <v>18556</v>
      </c>
      <c r="M7" s="199">
        <v>9594</v>
      </c>
      <c r="N7" s="199">
        <v>2104</v>
      </c>
      <c r="O7" s="199">
        <v>8059</v>
      </c>
      <c r="P7" s="198">
        <v>13132</v>
      </c>
      <c r="Q7" s="198">
        <v>4420</v>
      </c>
      <c r="R7" s="198">
        <v>1927</v>
      </c>
      <c r="S7" s="198">
        <v>13609</v>
      </c>
      <c r="T7" s="198">
        <v>17919</v>
      </c>
      <c r="U7" s="198">
        <v>9657</v>
      </c>
      <c r="V7" s="198">
        <v>5867</v>
      </c>
      <c r="W7" s="198">
        <v>22239</v>
      </c>
      <c r="X7" s="198">
        <v>23234</v>
      </c>
      <c r="Y7" s="198"/>
      <c r="Z7" s="197">
        <v>3582</v>
      </c>
      <c r="AA7" s="197">
        <v>27285</v>
      </c>
      <c r="AB7" s="197">
        <v>9594</v>
      </c>
      <c r="AC7" s="197">
        <f>Q7</f>
        <v>4420</v>
      </c>
      <c r="AD7" s="197">
        <f>U7</f>
        <v>9657</v>
      </c>
    </row>
    <row r="8" spans="1:30" s="200" customFormat="1" ht="11.25">
      <c r="A8" s="188" t="s">
        <v>48</v>
      </c>
      <c r="B8" s="197">
        <v>-383759</v>
      </c>
      <c r="C8" s="197">
        <v>-390463</v>
      </c>
      <c r="D8" s="197">
        <v>-395341</v>
      </c>
      <c r="E8" s="197">
        <v>-400696</v>
      </c>
      <c r="F8" s="197">
        <v>1492</v>
      </c>
      <c r="G8" s="197">
        <v>3442</v>
      </c>
      <c r="H8" s="197">
        <v>3542</v>
      </c>
      <c r="I8" s="197">
        <v>23522</v>
      </c>
      <c r="J8" s="198">
        <v>-6421</v>
      </c>
      <c r="K8" s="198">
        <v>-3948</v>
      </c>
      <c r="L8" s="199">
        <v>-25243</v>
      </c>
      <c r="M8" s="199">
        <v>21319</v>
      </c>
      <c r="N8" s="199">
        <v>1472</v>
      </c>
      <c r="O8" s="199">
        <v>1580</v>
      </c>
      <c r="P8" s="198">
        <v>1862</v>
      </c>
      <c r="Q8" s="198">
        <v>10904</v>
      </c>
      <c r="R8" s="198">
        <v>1312</v>
      </c>
      <c r="S8" s="198">
        <v>7888</v>
      </c>
      <c r="T8" s="198">
        <v>10384</v>
      </c>
      <c r="U8" s="198">
        <v>27991</v>
      </c>
      <c r="V8" s="198">
        <v>3330</v>
      </c>
      <c r="W8" s="198">
        <v>13288</v>
      </c>
      <c r="X8" s="198">
        <v>-68981</v>
      </c>
      <c r="Y8" s="198"/>
      <c r="Z8" s="197">
        <v>-400696</v>
      </c>
      <c r="AA8" s="197">
        <v>23522</v>
      </c>
      <c r="AB8" s="197">
        <v>21319</v>
      </c>
      <c r="AC8" s="197">
        <f>Q8</f>
        <v>10904</v>
      </c>
      <c r="AD8" s="197">
        <f>U8</f>
        <v>27991</v>
      </c>
    </row>
    <row r="9" spans="1:30" s="191" customFormat="1" ht="11.25">
      <c r="A9" s="188" t="s">
        <v>49</v>
      </c>
      <c r="B9" s="197"/>
      <c r="C9" s="197"/>
      <c r="D9" s="197">
        <v>-226706</v>
      </c>
      <c r="E9" s="197">
        <v>-227524</v>
      </c>
      <c r="F9" s="197"/>
      <c r="G9" s="197">
        <v>-81511</v>
      </c>
      <c r="H9" s="197">
        <v>-82116</v>
      </c>
      <c r="I9" s="197">
        <v>-83122</v>
      </c>
      <c r="J9" s="198"/>
      <c r="K9" s="198"/>
      <c r="L9" s="199"/>
      <c r="M9" s="199"/>
      <c r="N9" s="199"/>
      <c r="O9" s="199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7">
        <v>-227524</v>
      </c>
      <c r="AA9" s="197">
        <v>-83122</v>
      </c>
      <c r="AB9" s="197"/>
      <c r="AC9" s="197"/>
      <c r="AD9" s="197"/>
    </row>
    <row r="10" spans="1:30" ht="11.25">
      <c r="A10" s="188" t="s">
        <v>50</v>
      </c>
      <c r="B10" s="197"/>
      <c r="C10" s="197"/>
      <c r="F10" s="197"/>
      <c r="H10" s="197">
        <v>-1245</v>
      </c>
      <c r="I10" s="197">
        <v>-1261</v>
      </c>
      <c r="J10" s="198"/>
      <c r="K10" s="198"/>
      <c r="L10" s="199"/>
      <c r="M10" s="199"/>
      <c r="N10" s="199"/>
      <c r="O10" s="199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7"/>
      <c r="AA10" s="197">
        <v>-1261</v>
      </c>
      <c r="AB10" s="197"/>
      <c r="AC10" s="197"/>
      <c r="AD10" s="197"/>
    </row>
    <row r="11" spans="1:30" ht="11.25">
      <c r="A11" s="188" t="s">
        <v>51</v>
      </c>
      <c r="B11" s="197">
        <v>-483</v>
      </c>
      <c r="C11" s="197">
        <v>-492</v>
      </c>
      <c r="D11" s="197">
        <v>-497</v>
      </c>
      <c r="E11" s="197">
        <v>-501</v>
      </c>
      <c r="F11" s="197">
        <v>-10180</v>
      </c>
      <c r="G11" s="197">
        <v>-7729</v>
      </c>
      <c r="H11" s="197">
        <v>25829</v>
      </c>
      <c r="I11" s="197">
        <v>50312</v>
      </c>
      <c r="J11" s="198">
        <v>7841</v>
      </c>
      <c r="K11" s="198">
        <v>-42774</v>
      </c>
      <c r="L11" s="199">
        <v>-62009</v>
      </c>
      <c r="M11" s="199">
        <v>151212</v>
      </c>
      <c r="N11" s="199">
        <v>142638</v>
      </c>
      <c r="O11" s="199">
        <v>258805</v>
      </c>
      <c r="P11" s="198">
        <v>344093</v>
      </c>
      <c r="Q11" s="198">
        <v>314860</v>
      </c>
      <c r="R11" s="198">
        <v>26716</v>
      </c>
      <c r="S11" s="198">
        <v>5582</v>
      </c>
      <c r="T11" s="198">
        <v>18862</v>
      </c>
      <c r="U11" s="198">
        <v>107338</v>
      </c>
      <c r="V11" s="198">
        <v>-15421</v>
      </c>
      <c r="W11" s="198">
        <v>-53260</v>
      </c>
      <c r="X11" s="198">
        <v>-54048</v>
      </c>
      <c r="Y11" s="198"/>
      <c r="Z11" s="197">
        <v>-501</v>
      </c>
      <c r="AA11" s="197">
        <v>50312</v>
      </c>
      <c r="AB11" s="197">
        <v>151212</v>
      </c>
      <c r="AC11" s="197">
        <f>Q11</f>
        <v>314860</v>
      </c>
      <c r="AD11" s="197">
        <f>U11</f>
        <v>107338</v>
      </c>
    </row>
    <row r="12" spans="1:30" s="202" customFormat="1" ht="11.25">
      <c r="A12" s="188" t="s">
        <v>206</v>
      </c>
      <c r="B12" s="197">
        <v>-6857</v>
      </c>
      <c r="C12" s="197">
        <v>-7343</v>
      </c>
      <c r="D12" s="197">
        <v>-13470</v>
      </c>
      <c r="E12" s="197">
        <v>-38732</v>
      </c>
      <c r="F12" s="197">
        <v>40613</v>
      </c>
      <c r="G12" s="197">
        <v>47524</v>
      </c>
      <c r="H12" s="197">
        <v>57045</v>
      </c>
      <c r="I12" s="197">
        <v>37925</v>
      </c>
      <c r="J12" s="198">
        <v>-70379</v>
      </c>
      <c r="K12" s="198">
        <v>-63206</v>
      </c>
      <c r="L12" s="199">
        <v>-91922</v>
      </c>
      <c r="M12" s="199">
        <v>-259446</v>
      </c>
      <c r="N12" s="199">
        <v>-26778</v>
      </c>
      <c r="O12" s="199">
        <v>-22598</v>
      </c>
      <c r="P12" s="198">
        <v>36829</v>
      </c>
      <c r="Q12" s="198">
        <v>34442</v>
      </c>
      <c r="R12" s="198">
        <v>8137</v>
      </c>
      <c r="S12" s="198">
        <v>18444</v>
      </c>
      <c r="T12" s="198">
        <v>27783</v>
      </c>
      <c r="U12" s="198">
        <v>33790</v>
      </c>
      <c r="V12" s="198">
        <v>11489</v>
      </c>
      <c r="W12" s="198">
        <v>5968</v>
      </c>
      <c r="X12" s="198">
        <v>34284</v>
      </c>
      <c r="Y12" s="198"/>
      <c r="Z12" s="197">
        <v>-38732</v>
      </c>
      <c r="AA12" s="197">
        <v>37925</v>
      </c>
      <c r="AB12" s="197">
        <v>-259446</v>
      </c>
      <c r="AC12" s="197">
        <f>Q12</f>
        <v>34442</v>
      </c>
      <c r="AD12" s="197">
        <f>U12</f>
        <v>33790</v>
      </c>
    </row>
    <row r="13" spans="1:30" ht="11.25">
      <c r="A13" s="203" t="s">
        <v>52</v>
      </c>
      <c r="B13" s="204"/>
      <c r="C13" s="204"/>
      <c r="D13" s="204"/>
      <c r="E13" s="204"/>
      <c r="F13" s="204">
        <v>-30028</v>
      </c>
      <c r="G13" s="204"/>
      <c r="H13" s="204"/>
      <c r="I13" s="20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4"/>
      <c r="AA13" s="204"/>
      <c r="AB13" s="204"/>
      <c r="AC13" s="204"/>
      <c r="AD13" s="204"/>
    </row>
    <row r="14" spans="1:30" ht="11.25">
      <c r="A14" s="203" t="s">
        <v>53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4"/>
      <c r="AA14" s="204"/>
      <c r="AB14" s="204"/>
      <c r="AC14" s="204"/>
      <c r="AD14" s="204"/>
    </row>
    <row r="15" spans="1:30" ht="11.25">
      <c r="A15" s="203" t="s">
        <v>54</v>
      </c>
      <c r="B15" s="204"/>
      <c r="C15" s="204"/>
      <c r="D15" s="204"/>
      <c r="E15" s="204">
        <v>136916</v>
      </c>
      <c r="F15" s="204"/>
      <c r="G15" s="204"/>
      <c r="H15" s="204"/>
      <c r="I15" s="204"/>
      <c r="J15" s="205"/>
      <c r="K15" s="205"/>
      <c r="L15" s="205"/>
      <c r="M15" s="205">
        <v>128389</v>
      </c>
      <c r="N15" s="205"/>
      <c r="O15" s="205"/>
      <c r="P15" s="205"/>
      <c r="Q15" s="205">
        <v>43662</v>
      </c>
      <c r="R15" s="205"/>
      <c r="S15" s="205"/>
      <c r="T15" s="205"/>
      <c r="U15" s="205">
        <v>58179</v>
      </c>
      <c r="V15" s="205"/>
      <c r="W15" s="205"/>
      <c r="X15" s="205"/>
      <c r="Y15" s="205"/>
      <c r="Z15" s="204">
        <v>136916</v>
      </c>
      <c r="AA15" s="204"/>
      <c r="AB15" s="204">
        <v>128389</v>
      </c>
      <c r="AC15" s="204">
        <f>Q15</f>
        <v>43662</v>
      </c>
      <c r="AD15" s="204">
        <f>U15</f>
        <v>58179</v>
      </c>
    </row>
    <row r="16" spans="1:30" ht="11.25">
      <c r="A16" s="206" t="s">
        <v>197</v>
      </c>
      <c r="B16" s="204"/>
      <c r="C16" s="204"/>
      <c r="D16" s="204"/>
      <c r="E16" s="204">
        <v>-6125</v>
      </c>
      <c r="F16" s="204"/>
      <c r="G16" s="204"/>
      <c r="H16" s="204"/>
      <c r="I16" s="204">
        <v>-58708</v>
      </c>
      <c r="J16" s="205"/>
      <c r="K16" s="205"/>
      <c r="L16" s="205"/>
      <c r="M16" s="205">
        <v>653297</v>
      </c>
      <c r="N16" s="205">
        <v>16780</v>
      </c>
      <c r="O16" s="205">
        <v>-136919</v>
      </c>
      <c r="P16" s="205">
        <v>-315096</v>
      </c>
      <c r="Q16" s="205">
        <v>-470930</v>
      </c>
      <c r="R16" s="205">
        <v>-4435</v>
      </c>
      <c r="S16" s="205">
        <v>-920</v>
      </c>
      <c r="T16" s="205">
        <v>-3230</v>
      </c>
      <c r="U16" s="205">
        <v>-4225</v>
      </c>
      <c r="V16" s="205">
        <v>-7591</v>
      </c>
      <c r="W16" s="205">
        <v>4819</v>
      </c>
      <c r="X16" s="205">
        <v>4819</v>
      </c>
      <c r="Y16" s="205"/>
      <c r="Z16" s="204">
        <v>-6125</v>
      </c>
      <c r="AA16" s="204">
        <v>-58708</v>
      </c>
      <c r="AB16" s="204">
        <v>653297</v>
      </c>
      <c r="AC16" s="204">
        <f>Q16</f>
        <v>-470930</v>
      </c>
      <c r="AD16" s="204">
        <f>U16</f>
        <v>-4225</v>
      </c>
    </row>
    <row r="17" spans="1:30" ht="11.25">
      <c r="A17" s="206" t="s">
        <v>198</v>
      </c>
      <c r="B17" s="204"/>
      <c r="C17" s="204"/>
      <c r="D17" s="204"/>
      <c r="E17" s="204"/>
      <c r="F17" s="204"/>
      <c r="G17" s="204"/>
      <c r="H17" s="204"/>
      <c r="I17" s="204"/>
      <c r="J17" s="205"/>
      <c r="K17" s="205"/>
      <c r="L17" s="205"/>
      <c r="M17" s="205">
        <v>234000</v>
      </c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4"/>
      <c r="AA17" s="204"/>
      <c r="AB17" s="204">
        <v>234000</v>
      </c>
      <c r="AC17" s="204"/>
      <c r="AD17" s="204"/>
    </row>
    <row r="18" spans="1:30" ht="11.25">
      <c r="A18" s="206" t="s">
        <v>55</v>
      </c>
      <c r="B18" s="204"/>
      <c r="C18" s="204"/>
      <c r="D18" s="204"/>
      <c r="E18" s="204">
        <v>19765</v>
      </c>
      <c r="F18" s="204">
        <v>6019</v>
      </c>
      <c r="G18" s="204">
        <v>6070</v>
      </c>
      <c r="H18" s="204">
        <v>6115</v>
      </c>
      <c r="I18" s="204">
        <v>6190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4">
        <v>19765</v>
      </c>
      <c r="AA18" s="204">
        <v>6190</v>
      </c>
      <c r="AB18" s="204"/>
      <c r="AC18" s="204"/>
      <c r="AD18" s="204"/>
    </row>
    <row r="19" spans="1:30" ht="11.25">
      <c r="A19" s="206" t="s">
        <v>199</v>
      </c>
      <c r="B19" s="204"/>
      <c r="C19" s="204"/>
      <c r="D19" s="204"/>
      <c r="E19" s="204"/>
      <c r="F19" s="204"/>
      <c r="G19" s="204"/>
      <c r="H19" s="204"/>
      <c r="I19" s="204"/>
      <c r="J19" s="205"/>
      <c r="K19" s="205"/>
      <c r="L19" s="205"/>
      <c r="M19" s="205">
        <v>-11431</v>
      </c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4"/>
      <c r="AA19" s="204"/>
      <c r="AB19" s="204">
        <v>-11431</v>
      </c>
      <c r="AC19" s="204"/>
      <c r="AD19" s="204"/>
    </row>
    <row r="20" spans="1:30" s="207" customFormat="1" ht="11.25">
      <c r="A20" s="203" t="s">
        <v>56</v>
      </c>
      <c r="B20" s="204">
        <v>14867</v>
      </c>
      <c r="C20" s="204">
        <v>21558</v>
      </c>
      <c r="D20" s="204">
        <v>27103</v>
      </c>
      <c r="E20" s="204">
        <v>21386</v>
      </c>
      <c r="F20" s="204">
        <v>-2591</v>
      </c>
      <c r="G20" s="204">
        <v>-1510</v>
      </c>
      <c r="H20" s="204">
        <v>4441</v>
      </c>
      <c r="I20" s="204">
        <v>16348</v>
      </c>
      <c r="J20" s="205">
        <v>4600</v>
      </c>
      <c r="K20" s="205">
        <v>47734</v>
      </c>
      <c r="L20" s="205">
        <v>-22965</v>
      </c>
      <c r="M20" s="205">
        <v>68285</v>
      </c>
      <c r="N20" s="205">
        <v>10072</v>
      </c>
      <c r="O20" s="205">
        <v>12984</v>
      </c>
      <c r="P20" s="205">
        <v>19616</v>
      </c>
      <c r="Q20" s="205">
        <v>21825</v>
      </c>
      <c r="R20" s="205">
        <v>13971</v>
      </c>
      <c r="S20" s="205">
        <v>35015</v>
      </c>
      <c r="T20" s="205">
        <v>10219</v>
      </c>
      <c r="U20" s="205">
        <v>99735</v>
      </c>
      <c r="V20" s="205">
        <v>4906</v>
      </c>
      <c r="W20" s="205">
        <v>-1840</v>
      </c>
      <c r="X20" s="205">
        <v>91913</v>
      </c>
      <c r="Y20" s="205"/>
      <c r="Z20" s="204">
        <v>21386</v>
      </c>
      <c r="AA20" s="204">
        <v>16348</v>
      </c>
      <c r="AB20" s="204">
        <v>68285</v>
      </c>
      <c r="AC20" s="204">
        <f>Q20</f>
        <v>21825</v>
      </c>
      <c r="AD20" s="204">
        <f>U20</f>
        <v>99735</v>
      </c>
    </row>
    <row r="21" spans="1:30" s="211" customFormat="1" ht="11.25">
      <c r="A21" s="208" t="s">
        <v>57</v>
      </c>
      <c r="B21" s="209"/>
      <c r="C21" s="209"/>
      <c r="D21" s="209"/>
      <c r="E21" s="209"/>
      <c r="F21" s="209"/>
      <c r="G21" s="209"/>
      <c r="H21" s="209"/>
      <c r="I21" s="209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09"/>
      <c r="AA21" s="209"/>
      <c r="AB21" s="209"/>
      <c r="AC21" s="209"/>
      <c r="AD21" s="209"/>
    </row>
    <row r="22" spans="1:30" s="211" customFormat="1" ht="11.25">
      <c r="A22" s="188" t="s">
        <v>207</v>
      </c>
      <c r="B22" s="197">
        <v>-24790</v>
      </c>
      <c r="C22" s="197">
        <v>-137577</v>
      </c>
      <c r="D22" s="197">
        <v>-155745</v>
      </c>
      <c r="E22" s="197">
        <v>-135234</v>
      </c>
      <c r="F22" s="197">
        <v>-135520</v>
      </c>
      <c r="G22" s="197">
        <v>-17551</v>
      </c>
      <c r="H22" s="197">
        <v>-61538</v>
      </c>
      <c r="I22" s="197">
        <v>-33325</v>
      </c>
      <c r="J22" s="198">
        <v>-260800</v>
      </c>
      <c r="K22" s="198">
        <v>183443</v>
      </c>
      <c r="L22" s="199">
        <v>-17931</v>
      </c>
      <c r="M22" s="199">
        <v>-698002</v>
      </c>
      <c r="N22" s="199">
        <v>98258</v>
      </c>
      <c r="O22" s="199">
        <v>494731</v>
      </c>
      <c r="P22" s="198">
        <v>504158</v>
      </c>
      <c r="Q22" s="198">
        <v>493751</v>
      </c>
      <c r="R22" s="198">
        <v>-122052</v>
      </c>
      <c r="S22" s="198">
        <v>-339896</v>
      </c>
      <c r="T22" s="198">
        <v>-283986</v>
      </c>
      <c r="U22" s="198">
        <v>-356198</v>
      </c>
      <c r="V22" s="198">
        <v>53869</v>
      </c>
      <c r="W22" s="198">
        <v>-389384</v>
      </c>
      <c r="X22" s="198">
        <v>23118</v>
      </c>
      <c r="Y22" s="198"/>
      <c r="Z22" s="197">
        <v>-135234</v>
      </c>
      <c r="AA22" s="197">
        <v>-33325</v>
      </c>
      <c r="AB22" s="197">
        <v>-698002</v>
      </c>
      <c r="AC22" s="197">
        <f>Q22</f>
        <v>493751</v>
      </c>
      <c r="AD22" s="197">
        <f>U22</f>
        <v>-356198</v>
      </c>
    </row>
    <row r="23" spans="1:30" s="211" customFormat="1" ht="11.25">
      <c r="A23" s="188" t="s">
        <v>208</v>
      </c>
      <c r="B23" s="197">
        <v>22158</v>
      </c>
      <c r="C23" s="197">
        <v>-4357</v>
      </c>
      <c r="D23" s="197">
        <v>-68914</v>
      </c>
      <c r="E23" s="197">
        <v>-159995</v>
      </c>
      <c r="F23" s="197">
        <v>-24596</v>
      </c>
      <c r="G23" s="197">
        <v>-80258</v>
      </c>
      <c r="H23" s="197">
        <v>-152130</v>
      </c>
      <c r="I23" s="197">
        <v>-200074</v>
      </c>
      <c r="J23" s="198">
        <v>-229482</v>
      </c>
      <c r="K23" s="198">
        <v>74123</v>
      </c>
      <c r="L23" s="199">
        <v>-341985</v>
      </c>
      <c r="M23" s="199">
        <v>-364316</v>
      </c>
      <c r="N23" s="199">
        <v>294444</v>
      </c>
      <c r="O23" s="199">
        <v>401532</v>
      </c>
      <c r="P23" s="198">
        <v>420804</v>
      </c>
      <c r="Q23" s="198">
        <v>331396</v>
      </c>
      <c r="R23" s="198">
        <v>-153603</v>
      </c>
      <c r="S23" s="198">
        <v>-313130</v>
      </c>
      <c r="T23" s="198">
        <v>-438261</v>
      </c>
      <c r="U23" s="198">
        <v>-458033</v>
      </c>
      <c r="V23" s="198">
        <v>-87895</v>
      </c>
      <c r="W23" s="198">
        <v>-205709</v>
      </c>
      <c r="X23" s="198">
        <v>-489604</v>
      </c>
      <c r="Y23" s="198"/>
      <c r="Z23" s="197">
        <v>-159995</v>
      </c>
      <c r="AA23" s="197">
        <v>-200074</v>
      </c>
      <c r="AB23" s="197">
        <v>-364316</v>
      </c>
      <c r="AC23" s="197">
        <f>Q23</f>
        <v>331396</v>
      </c>
      <c r="AD23" s="197">
        <f>U23</f>
        <v>-458033</v>
      </c>
    </row>
    <row r="24" spans="1:30" s="211" customFormat="1" ht="11.25">
      <c r="A24" s="188" t="s">
        <v>209</v>
      </c>
      <c r="B24" s="197">
        <v>4317</v>
      </c>
      <c r="C24" s="197">
        <v>-1276</v>
      </c>
      <c r="D24" s="197">
        <v>-150</v>
      </c>
      <c r="E24" s="197">
        <v>-16905</v>
      </c>
      <c r="F24" s="197">
        <v>-28776</v>
      </c>
      <c r="G24" s="197">
        <v>-10286</v>
      </c>
      <c r="H24" s="197">
        <v>-42847</v>
      </c>
      <c r="I24" s="197">
        <v>-43633</v>
      </c>
      <c r="J24" s="198">
        <v>-14716</v>
      </c>
      <c r="K24" s="198">
        <v>-17829</v>
      </c>
      <c r="L24" s="199">
        <v>14889</v>
      </c>
      <c r="M24" s="199">
        <v>45690</v>
      </c>
      <c r="N24" s="199">
        <v>-4082</v>
      </c>
      <c r="O24" s="199">
        <v>-146</v>
      </c>
      <c r="P24" s="198">
        <v>4865</v>
      </c>
      <c r="Q24" s="198">
        <v>17193</v>
      </c>
      <c r="R24" s="198">
        <v>-1712</v>
      </c>
      <c r="S24" s="198">
        <v>-2945</v>
      </c>
      <c r="T24" s="198">
        <v>-4309</v>
      </c>
      <c r="U24" s="198">
        <v>5517</v>
      </c>
      <c r="V24" s="198">
        <v>-8597</v>
      </c>
      <c r="W24" s="198">
        <v>-5160</v>
      </c>
      <c r="X24" s="198">
        <v>11116</v>
      </c>
      <c r="Y24" s="198"/>
      <c r="Z24" s="197">
        <v>-16905</v>
      </c>
      <c r="AA24" s="197">
        <v>-43633</v>
      </c>
      <c r="AB24" s="197">
        <v>45690</v>
      </c>
      <c r="AC24" s="197">
        <f>Q24</f>
        <v>17193</v>
      </c>
      <c r="AD24" s="197">
        <f>U24</f>
        <v>5517</v>
      </c>
    </row>
    <row r="25" spans="1:30" ht="11.25">
      <c r="A25" s="188" t="s">
        <v>58</v>
      </c>
      <c r="B25" s="197">
        <v>-19673</v>
      </c>
      <c r="C25" s="197">
        <v>-42000</v>
      </c>
      <c r="D25" s="197">
        <v>-64512</v>
      </c>
      <c r="E25" s="197">
        <v>-69776</v>
      </c>
      <c r="F25" s="197">
        <v>-1277</v>
      </c>
      <c r="G25" s="197">
        <v>-104199</v>
      </c>
      <c r="H25" s="197">
        <v>-104973</v>
      </c>
      <c r="I25" s="197">
        <v>-106260</v>
      </c>
      <c r="J25" s="198"/>
      <c r="K25" s="198"/>
      <c r="L25" s="199"/>
      <c r="M25" s="199"/>
      <c r="N25" s="199"/>
      <c r="O25" s="199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7">
        <v>-69776</v>
      </c>
      <c r="AA25" s="197">
        <v>-106260</v>
      </c>
      <c r="AB25" s="197"/>
      <c r="AC25" s="197"/>
      <c r="AD25" s="197"/>
    </row>
    <row r="26" spans="1:30" s="211" customFormat="1" ht="11.25">
      <c r="A26" s="188" t="s">
        <v>210</v>
      </c>
      <c r="B26" s="197">
        <v>-59742</v>
      </c>
      <c r="C26" s="197">
        <v>-41369</v>
      </c>
      <c r="D26" s="197">
        <v>-117640</v>
      </c>
      <c r="E26" s="197">
        <v>-23125</v>
      </c>
      <c r="F26" s="197">
        <v>79082</v>
      </c>
      <c r="G26" s="197">
        <v>338080</v>
      </c>
      <c r="H26" s="197">
        <v>349209</v>
      </c>
      <c r="I26" s="197">
        <v>242830</v>
      </c>
      <c r="J26" s="198">
        <v>60175</v>
      </c>
      <c r="K26" s="198">
        <v>-870745</v>
      </c>
      <c r="L26" s="199">
        <v>-891376</v>
      </c>
      <c r="M26" s="199">
        <v>89776</v>
      </c>
      <c r="N26" s="199">
        <v>-15205</v>
      </c>
      <c r="O26" s="199">
        <v>-11014</v>
      </c>
      <c r="P26" s="198">
        <v>16690</v>
      </c>
      <c r="Q26" s="198">
        <v>10534</v>
      </c>
      <c r="R26" s="198">
        <v>95362</v>
      </c>
      <c r="S26" s="198">
        <v>193299</v>
      </c>
      <c r="T26" s="198">
        <v>195072</v>
      </c>
      <c r="U26" s="198">
        <v>213979</v>
      </c>
      <c r="V26" s="198">
        <v>71361</v>
      </c>
      <c r="W26" s="198">
        <v>161958</v>
      </c>
      <c r="X26" s="198">
        <v>244176</v>
      </c>
      <c r="Y26" s="198"/>
      <c r="Z26" s="197">
        <v>-23125</v>
      </c>
      <c r="AA26" s="197">
        <v>242830</v>
      </c>
      <c r="AB26" s="197">
        <v>89776</v>
      </c>
      <c r="AC26" s="197">
        <f>Q26</f>
        <v>10534</v>
      </c>
      <c r="AD26" s="197">
        <f>U26</f>
        <v>213979</v>
      </c>
    </row>
    <row r="27" spans="1:30" s="211" customFormat="1" ht="11.25">
      <c r="A27" s="188" t="s">
        <v>59</v>
      </c>
      <c r="B27" s="197">
        <v>-12862</v>
      </c>
      <c r="C27" s="197">
        <v>14387</v>
      </c>
      <c r="D27" s="197">
        <v>90052</v>
      </c>
      <c r="E27" s="197">
        <v>32376</v>
      </c>
      <c r="F27" s="197">
        <v>-13334</v>
      </c>
      <c r="G27" s="197">
        <v>-20826</v>
      </c>
      <c r="H27" s="197">
        <v>-20978</v>
      </c>
      <c r="I27" s="197">
        <v>-33700</v>
      </c>
      <c r="J27" s="198">
        <v>19173</v>
      </c>
      <c r="K27" s="198">
        <v>72665</v>
      </c>
      <c r="L27" s="199">
        <v>67617</v>
      </c>
      <c r="M27" s="205">
        <v>-63610</v>
      </c>
      <c r="N27" s="205">
        <v>17507</v>
      </c>
      <c r="O27" s="205">
        <v>17597</v>
      </c>
      <c r="P27" s="198">
        <v>30556</v>
      </c>
      <c r="Q27" s="198">
        <v>5990</v>
      </c>
      <c r="R27" s="198">
        <v>6162</v>
      </c>
      <c r="S27" s="198">
        <v>25384</v>
      </c>
      <c r="T27" s="198">
        <v>17271</v>
      </c>
      <c r="U27" s="198">
        <v>-29</v>
      </c>
      <c r="V27" s="198">
        <v>6033</v>
      </c>
      <c r="W27" s="198">
        <v>43173</v>
      </c>
      <c r="X27" s="198">
        <v>13080</v>
      </c>
      <c r="Y27" s="198"/>
      <c r="Z27" s="197">
        <v>32376</v>
      </c>
      <c r="AA27" s="197">
        <v>-33700</v>
      </c>
      <c r="AB27" s="197">
        <v>-63610</v>
      </c>
      <c r="AC27" s="197">
        <f>Q27</f>
        <v>5990</v>
      </c>
      <c r="AD27" s="197">
        <f>U27</f>
        <v>-29</v>
      </c>
    </row>
    <row r="28" spans="1:30" s="211" customFormat="1" ht="11.25">
      <c r="A28" s="212"/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09"/>
      <c r="AA28" s="209"/>
      <c r="AB28" s="209"/>
      <c r="AC28" s="209"/>
      <c r="AD28" s="209"/>
    </row>
    <row r="29" spans="1:30" s="211" customFormat="1" ht="11.25">
      <c r="A29" s="213" t="s">
        <v>60</v>
      </c>
      <c r="B29" s="214">
        <v>159091</v>
      </c>
      <c r="C29" s="214">
        <v>527777</v>
      </c>
      <c r="D29" s="214">
        <v>1029487</v>
      </c>
      <c r="E29" s="214">
        <v>1585089</v>
      </c>
      <c r="F29" s="214">
        <v>459310</v>
      </c>
      <c r="G29" s="214">
        <v>1366917</v>
      </c>
      <c r="H29" s="214">
        <v>1979040</v>
      </c>
      <c r="I29" s="214">
        <v>2523903</v>
      </c>
      <c r="J29" s="215">
        <v>250066</v>
      </c>
      <c r="K29" s="215">
        <v>1184165</v>
      </c>
      <c r="L29" s="215">
        <v>1888060</v>
      </c>
      <c r="M29" s="215">
        <v>2780762</v>
      </c>
      <c r="N29" s="215">
        <v>382163</v>
      </c>
      <c r="O29" s="215">
        <v>927165</v>
      </c>
      <c r="P29" s="215">
        <v>1251050</v>
      </c>
      <c r="Q29" s="215">
        <v>1394259</v>
      </c>
      <c r="R29" s="215">
        <v>102720</v>
      </c>
      <c r="S29" s="215">
        <v>448697</v>
      </c>
      <c r="T29" s="215">
        <v>1006644</v>
      </c>
      <c r="U29" s="215">
        <v>1431097</v>
      </c>
      <c r="V29" s="215">
        <v>542296</v>
      </c>
      <c r="W29" s="215">
        <v>826524</v>
      </c>
      <c r="X29" s="215">
        <v>1484949</v>
      </c>
      <c r="Y29" s="215"/>
      <c r="Z29" s="214">
        <v>1585089</v>
      </c>
      <c r="AA29" s="214">
        <v>2523903</v>
      </c>
      <c r="AB29" s="214">
        <v>2780762</v>
      </c>
      <c r="AC29" s="214">
        <f>Q29</f>
        <v>1394259</v>
      </c>
      <c r="AD29" s="214">
        <f>U29</f>
        <v>1431097</v>
      </c>
    </row>
    <row r="30" spans="1:30" s="207" customFormat="1" ht="11.25">
      <c r="A30" s="216"/>
      <c r="B30" s="217"/>
      <c r="C30" s="217"/>
      <c r="D30" s="217"/>
      <c r="E30" s="217"/>
      <c r="F30" s="217"/>
      <c r="G30" s="217"/>
      <c r="H30" s="217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7"/>
      <c r="AA30" s="217"/>
      <c r="AB30" s="217"/>
      <c r="AC30" s="217"/>
      <c r="AD30" s="217"/>
    </row>
    <row r="31" spans="1:30" s="207" customFormat="1" ht="11.25">
      <c r="A31" s="219" t="s">
        <v>61</v>
      </c>
      <c r="B31" s="220"/>
      <c r="C31" s="220"/>
      <c r="D31" s="220"/>
      <c r="E31" s="220"/>
      <c r="F31" s="220"/>
      <c r="G31" s="220"/>
      <c r="H31" s="220"/>
      <c r="I31" s="220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0"/>
      <c r="AA31" s="220"/>
      <c r="AB31" s="220"/>
      <c r="AC31" s="220"/>
      <c r="AD31" s="220"/>
    </row>
    <row r="32" spans="1:30" s="225" customFormat="1" ht="11.25">
      <c r="A32" s="222" t="s">
        <v>62</v>
      </c>
      <c r="B32" s="223">
        <v>-59365</v>
      </c>
      <c r="C32" s="223">
        <v>-809655</v>
      </c>
      <c r="D32" s="223">
        <v>-1348063</v>
      </c>
      <c r="E32" s="223">
        <v>-1347545</v>
      </c>
      <c r="F32" s="223"/>
      <c r="G32" s="223"/>
      <c r="H32" s="223"/>
      <c r="I32" s="223"/>
      <c r="J32" s="224">
        <v>-28169</v>
      </c>
      <c r="K32" s="224">
        <v>-126144</v>
      </c>
      <c r="L32" s="224">
        <v>-160493</v>
      </c>
      <c r="M32" s="224">
        <v>-514156</v>
      </c>
      <c r="N32" s="224"/>
      <c r="O32" s="224"/>
      <c r="P32" s="224"/>
      <c r="Q32" s="224"/>
      <c r="R32" s="224"/>
      <c r="S32" s="224"/>
      <c r="T32" s="224"/>
      <c r="U32" s="224">
        <v>-28363</v>
      </c>
      <c r="V32" s="224"/>
      <c r="W32" s="224"/>
      <c r="X32" s="224"/>
      <c r="Y32" s="224"/>
      <c r="Z32" s="223">
        <v>-1347545</v>
      </c>
      <c r="AA32" s="223"/>
      <c r="AB32" s="223">
        <v>-514156</v>
      </c>
      <c r="AC32" s="223"/>
      <c r="AD32" s="223">
        <f>U32</f>
        <v>-28363</v>
      </c>
    </row>
    <row r="33" spans="1:30" ht="11.25">
      <c r="A33" s="222" t="s">
        <v>190</v>
      </c>
      <c r="B33" s="223"/>
      <c r="C33" s="223"/>
      <c r="D33" s="223"/>
      <c r="E33" s="223"/>
      <c r="F33" s="223"/>
      <c r="G33" s="223"/>
      <c r="H33" s="223"/>
      <c r="I33" s="223"/>
      <c r="J33" s="224">
        <v>-299928</v>
      </c>
      <c r="K33" s="224">
        <v>-299928</v>
      </c>
      <c r="L33" s="224">
        <v>-299928</v>
      </c>
      <c r="M33" s="224">
        <v>-299928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>
        <v>-150000</v>
      </c>
      <c r="X33" s="224">
        <v>-41751</v>
      </c>
      <c r="Y33" s="224"/>
      <c r="Z33" s="223"/>
      <c r="AA33" s="223"/>
      <c r="AB33" s="223">
        <v>-299928</v>
      </c>
      <c r="AC33" s="223"/>
      <c r="AD33" s="223"/>
    </row>
    <row r="34" spans="1:30" s="202" customFormat="1" ht="11.25">
      <c r="A34" s="222" t="s">
        <v>63</v>
      </c>
      <c r="B34" s="223"/>
      <c r="C34" s="223"/>
      <c r="D34" s="223"/>
      <c r="E34" s="223">
        <v>-805503</v>
      </c>
      <c r="F34" s="223"/>
      <c r="G34" s="223"/>
      <c r="H34" s="223"/>
      <c r="I34" s="223"/>
      <c r="J34" s="224"/>
      <c r="K34" s="224"/>
      <c r="L34" s="224"/>
      <c r="M34" s="224">
        <v>-6488</v>
      </c>
      <c r="N34" s="224"/>
      <c r="O34" s="224"/>
      <c r="P34" s="224"/>
      <c r="Q34" s="224"/>
      <c r="R34" s="224"/>
      <c r="S34" s="224"/>
      <c r="T34" s="224"/>
      <c r="Y34" s="224"/>
      <c r="Z34" s="223">
        <v>-805503</v>
      </c>
      <c r="AA34" s="223"/>
      <c r="AB34" s="223">
        <v>-6488</v>
      </c>
      <c r="AC34" s="223"/>
      <c r="AD34" s="223"/>
    </row>
    <row r="35" spans="1:33" ht="11.25" customHeight="1">
      <c r="A35" s="222" t="s">
        <v>162</v>
      </c>
      <c r="B35" s="223"/>
      <c r="C35" s="223"/>
      <c r="D35" s="223"/>
      <c r="E35" s="223"/>
      <c r="F35" s="223"/>
      <c r="G35" s="223"/>
      <c r="H35" s="223"/>
      <c r="I35" s="223">
        <v>24038</v>
      </c>
      <c r="J35" s="224"/>
      <c r="K35" s="224">
        <v>297905</v>
      </c>
      <c r="L35" s="224">
        <v>297905</v>
      </c>
      <c r="M35" s="224">
        <v>297905</v>
      </c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3"/>
      <c r="AA35" s="223">
        <v>24038</v>
      </c>
      <c r="AB35" s="224">
        <v>297905</v>
      </c>
      <c r="AC35" s="224"/>
      <c r="AD35" s="224"/>
      <c r="AE35" s="202"/>
      <c r="AF35" s="202"/>
      <c r="AG35" s="202"/>
    </row>
    <row r="36" spans="1:30" ht="12" customHeight="1">
      <c r="A36" s="226" t="s">
        <v>64</v>
      </c>
      <c r="B36" s="223"/>
      <c r="C36" s="223"/>
      <c r="D36" s="223">
        <v>274563</v>
      </c>
      <c r="E36" s="223">
        <v>302526</v>
      </c>
      <c r="F36" s="223"/>
      <c r="G36" s="223"/>
      <c r="H36" s="223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3">
        <v>302526</v>
      </c>
      <c r="AA36" s="223"/>
      <c r="AB36" s="223"/>
      <c r="AC36" s="223"/>
      <c r="AD36" s="223"/>
    </row>
    <row r="37" spans="1:30" ht="11.25">
      <c r="A37" s="222" t="s">
        <v>65</v>
      </c>
      <c r="B37" s="223"/>
      <c r="C37" s="223"/>
      <c r="D37" s="223"/>
      <c r="E37" s="223"/>
      <c r="F37" s="223">
        <v>37124</v>
      </c>
      <c r="G37" s="223">
        <v>37442</v>
      </c>
      <c r="H37" s="223">
        <v>37720</v>
      </c>
      <c r="I37" s="223">
        <v>37089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3"/>
      <c r="AA37" s="223">
        <v>37089</v>
      </c>
      <c r="AB37" s="223"/>
      <c r="AC37" s="223"/>
      <c r="AD37" s="223"/>
    </row>
    <row r="38" spans="1:33" s="89" customFormat="1" ht="11.25">
      <c r="A38" s="226" t="s">
        <v>66</v>
      </c>
      <c r="B38" s="223">
        <v>2744</v>
      </c>
      <c r="C38" s="223">
        <v>2926</v>
      </c>
      <c r="D38" s="223">
        <v>9475</v>
      </c>
      <c r="E38" s="223">
        <v>15565</v>
      </c>
      <c r="F38" s="223">
        <v>1690</v>
      </c>
      <c r="G38" s="223">
        <v>6977</v>
      </c>
      <c r="H38" s="223">
        <v>7256</v>
      </c>
      <c r="I38" s="223">
        <v>12278</v>
      </c>
      <c r="J38" s="224">
        <v>4178</v>
      </c>
      <c r="K38" s="224">
        <v>6209</v>
      </c>
      <c r="L38" s="224">
        <v>7819</v>
      </c>
      <c r="M38" s="224">
        <v>9789</v>
      </c>
      <c r="N38" s="224">
        <v>1559</v>
      </c>
      <c r="O38" s="224">
        <v>5053</v>
      </c>
      <c r="P38" s="224">
        <v>10403</v>
      </c>
      <c r="Q38" s="224">
        <v>12719</v>
      </c>
      <c r="R38" s="224">
        <v>3095</v>
      </c>
      <c r="S38" s="224">
        <v>5764</v>
      </c>
      <c r="T38" s="224">
        <v>14693</v>
      </c>
      <c r="U38" s="224">
        <v>26362</v>
      </c>
      <c r="V38" s="224">
        <v>5290</v>
      </c>
      <c r="W38" s="224">
        <v>7274</v>
      </c>
      <c r="X38" s="224">
        <v>15958</v>
      </c>
      <c r="Y38" s="224"/>
      <c r="Z38" s="223">
        <v>15565</v>
      </c>
      <c r="AA38" s="223">
        <v>12278</v>
      </c>
      <c r="AB38" s="223">
        <v>9789</v>
      </c>
      <c r="AC38" s="223">
        <f>Q38</f>
        <v>12719</v>
      </c>
      <c r="AD38" s="223">
        <f>U38</f>
        <v>26362</v>
      </c>
      <c r="AE38" s="178"/>
      <c r="AF38" s="178"/>
      <c r="AG38" s="178"/>
    </row>
    <row r="39" spans="1:30" s="89" customFormat="1" ht="11.25">
      <c r="A39" s="226" t="s">
        <v>67</v>
      </c>
      <c r="B39" s="223">
        <v>-91193</v>
      </c>
      <c r="C39" s="223">
        <v>-239845</v>
      </c>
      <c r="D39" s="223">
        <v>-415320</v>
      </c>
      <c r="E39" s="223">
        <v>-618677</v>
      </c>
      <c r="F39" s="223">
        <v>-173196</v>
      </c>
      <c r="G39" s="223">
        <v>-395420</v>
      </c>
      <c r="H39" s="223">
        <v>-616015</v>
      </c>
      <c r="I39" s="223">
        <v>-957719</v>
      </c>
      <c r="J39" s="224">
        <v>-355244</v>
      </c>
      <c r="K39" s="224">
        <v>-822424</v>
      </c>
      <c r="L39" s="224">
        <v>-1447755</v>
      </c>
      <c r="M39" s="224">
        <v>-1934274</v>
      </c>
      <c r="N39" s="224">
        <v>-203038</v>
      </c>
      <c r="O39" s="224">
        <v>-413847</v>
      </c>
      <c r="P39" s="224">
        <v>-707652</v>
      </c>
      <c r="Q39" s="224">
        <v>-1120777</v>
      </c>
      <c r="R39" s="224">
        <v>-234440</v>
      </c>
      <c r="S39" s="224">
        <v>-612276</v>
      </c>
      <c r="T39" s="224">
        <v>-983324</v>
      </c>
      <c r="U39" s="224">
        <v>-1463209</v>
      </c>
      <c r="V39" s="224">
        <v>-399441</v>
      </c>
      <c r="W39" s="224">
        <v>-921615</v>
      </c>
      <c r="X39" s="224">
        <v>-1528985</v>
      </c>
      <c r="Y39" s="224"/>
      <c r="Z39" s="223">
        <v>-618677</v>
      </c>
      <c r="AA39" s="223">
        <v>-957719</v>
      </c>
      <c r="AB39" s="223">
        <v>-1934274</v>
      </c>
      <c r="AC39" s="223">
        <f>Q39</f>
        <v>-1120777</v>
      </c>
      <c r="AD39" s="223">
        <f>U39</f>
        <v>-1463209</v>
      </c>
    </row>
    <row r="40" spans="1:30" ht="11.25">
      <c r="A40" s="222" t="s">
        <v>205</v>
      </c>
      <c r="B40" s="223"/>
      <c r="C40" s="223"/>
      <c r="D40" s="223"/>
      <c r="E40" s="223"/>
      <c r="F40" s="223"/>
      <c r="G40" s="223"/>
      <c r="H40" s="223"/>
      <c r="I40" s="223"/>
      <c r="J40" s="224"/>
      <c r="K40" s="224"/>
      <c r="L40" s="224"/>
      <c r="M40" s="224"/>
      <c r="N40" s="224">
        <v>-234000</v>
      </c>
      <c r="O40" s="224">
        <v>-234000</v>
      </c>
      <c r="P40" s="224">
        <v>-234000</v>
      </c>
      <c r="Q40" s="224">
        <v>-234000</v>
      </c>
      <c r="R40" s="224"/>
      <c r="S40" s="224"/>
      <c r="T40" s="224"/>
      <c r="U40" s="224"/>
      <c r="V40" s="224"/>
      <c r="W40" s="224"/>
      <c r="X40" s="224"/>
      <c r="Y40" s="224"/>
      <c r="Z40" s="223"/>
      <c r="AA40" s="223"/>
      <c r="AB40" s="223"/>
      <c r="AC40" s="223">
        <f>Q40</f>
        <v>-234000</v>
      </c>
      <c r="AD40" s="223"/>
    </row>
    <row r="41" spans="1:30" s="89" customFormat="1" ht="11.25">
      <c r="A41" s="222" t="s">
        <v>68</v>
      </c>
      <c r="B41" s="223">
        <v>402728</v>
      </c>
      <c r="C41" s="223">
        <v>419647</v>
      </c>
      <c r="D41" s="223">
        <v>450493</v>
      </c>
      <c r="E41" s="223">
        <v>465274</v>
      </c>
      <c r="F41" s="223">
        <v>3719</v>
      </c>
      <c r="G41" s="223">
        <v>6449</v>
      </c>
      <c r="H41" s="223">
        <v>6422</v>
      </c>
      <c r="I41" s="223">
        <v>11606</v>
      </c>
      <c r="J41" s="224">
        <v>21238</v>
      </c>
      <c r="K41" s="224">
        <v>19671</v>
      </c>
      <c r="L41" s="224">
        <v>94337</v>
      </c>
      <c r="M41" s="224">
        <v>95803</v>
      </c>
      <c r="N41" s="224">
        <v>34</v>
      </c>
      <c r="O41" s="224">
        <v>143172</v>
      </c>
      <c r="P41" s="224">
        <v>502047</v>
      </c>
      <c r="Q41" s="224">
        <v>510336</v>
      </c>
      <c r="R41" s="224">
        <v>12109</v>
      </c>
      <c r="S41" s="224">
        <v>47595</v>
      </c>
      <c r="T41" s="224">
        <v>147736</v>
      </c>
      <c r="U41" s="224">
        <v>450255</v>
      </c>
      <c r="V41" s="224">
        <v>428814</v>
      </c>
      <c r="W41" s="224">
        <v>517435</v>
      </c>
      <c r="X41" s="224">
        <v>691308</v>
      </c>
      <c r="Y41" s="224"/>
      <c r="Z41" s="223">
        <v>465274</v>
      </c>
      <c r="AA41" s="223">
        <v>11606</v>
      </c>
      <c r="AB41" s="223">
        <v>95803</v>
      </c>
      <c r="AC41" s="223">
        <f>Q41</f>
        <v>510336</v>
      </c>
      <c r="AD41" s="223">
        <f>U41</f>
        <v>450255</v>
      </c>
    </row>
    <row r="42" spans="1:30" s="89" customFormat="1" ht="11.25">
      <c r="A42" s="222" t="s">
        <v>212</v>
      </c>
      <c r="B42" s="223">
        <v>-27948</v>
      </c>
      <c r="C42" s="223">
        <v>-12416</v>
      </c>
      <c r="D42" s="223">
        <v>-44015</v>
      </c>
      <c r="E42" s="223">
        <v>-54758</v>
      </c>
      <c r="F42" s="223">
        <v>-35079</v>
      </c>
      <c r="G42" s="223">
        <v>-35670</v>
      </c>
      <c r="H42" s="223">
        <v>-45039</v>
      </c>
      <c r="I42" s="223">
        <v>-199469</v>
      </c>
      <c r="J42" s="224">
        <v>-19255</v>
      </c>
      <c r="K42" s="224">
        <v>-24503</v>
      </c>
      <c r="L42" s="224">
        <v>-32317</v>
      </c>
      <c r="M42" s="224">
        <v>-33386</v>
      </c>
      <c r="N42" s="224">
        <v>-306526</v>
      </c>
      <c r="O42" s="224">
        <v>-508434</v>
      </c>
      <c r="P42" s="224">
        <v>-511188</v>
      </c>
      <c r="Q42" s="224">
        <v>-536098</v>
      </c>
      <c r="R42" s="224">
        <v>-7993</v>
      </c>
      <c r="S42" s="224">
        <v>-118143</v>
      </c>
      <c r="T42" s="224">
        <v>-730798</v>
      </c>
      <c r="U42" s="224">
        <v>-832472</v>
      </c>
      <c r="V42" s="224">
        <v>-250874</v>
      </c>
      <c r="W42" s="224">
        <v>-257846</v>
      </c>
      <c r="X42" s="224">
        <v>-270589</v>
      </c>
      <c r="Y42" s="224"/>
      <c r="Z42" s="223">
        <v>-54758</v>
      </c>
      <c r="AA42" s="223">
        <v>-199469</v>
      </c>
      <c r="AB42" s="223">
        <v>-33386</v>
      </c>
      <c r="AC42" s="223">
        <f>Q42</f>
        <v>-536098</v>
      </c>
      <c r="AD42" s="223">
        <f>U42</f>
        <v>-832472</v>
      </c>
    </row>
    <row r="43" spans="1:30" s="89" customFormat="1" ht="11.25">
      <c r="A43" s="222" t="s">
        <v>192</v>
      </c>
      <c r="B43" s="223"/>
      <c r="C43" s="223"/>
      <c r="D43" s="223"/>
      <c r="E43" s="223"/>
      <c r="F43" s="223"/>
      <c r="G43" s="223"/>
      <c r="H43" s="223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3"/>
      <c r="AA43" s="223"/>
      <c r="AB43" s="223"/>
      <c r="AC43" s="223"/>
      <c r="AD43" s="223"/>
    </row>
    <row r="44" spans="1:30" s="89" customFormat="1" ht="11.25">
      <c r="A44" s="222" t="s">
        <v>69</v>
      </c>
      <c r="B44" s="223"/>
      <c r="C44" s="223"/>
      <c r="D44" s="223"/>
      <c r="E44" s="223"/>
      <c r="F44" s="223"/>
      <c r="G44" s="223">
        <v>-133096</v>
      </c>
      <c r="H44" s="223">
        <v>-136520</v>
      </c>
      <c r="I44" s="223">
        <v>-134300</v>
      </c>
      <c r="J44" s="224"/>
      <c r="K44" s="224"/>
      <c r="L44" s="224"/>
      <c r="M44" s="224">
        <v>-12839</v>
      </c>
      <c r="N44" s="224">
        <v>-128532</v>
      </c>
      <c r="O44" s="224">
        <v>-316191</v>
      </c>
      <c r="P44" s="224">
        <v>-333500</v>
      </c>
      <c r="Q44" s="224">
        <v>-403592</v>
      </c>
      <c r="R44" s="224"/>
      <c r="S44" s="224"/>
      <c r="T44" s="224"/>
      <c r="U44" s="224"/>
      <c r="V44" s="224"/>
      <c r="W44" s="224"/>
      <c r="X44" s="224"/>
      <c r="Y44" s="224"/>
      <c r="Z44" s="223"/>
      <c r="AA44" s="223">
        <v>-134300</v>
      </c>
      <c r="AB44" s="223">
        <v>-12839</v>
      </c>
      <c r="AC44" s="223">
        <f>Q44</f>
        <v>-403592</v>
      </c>
      <c r="AD44" s="223"/>
    </row>
    <row r="45" spans="1:33" ht="11.25">
      <c r="A45" s="222" t="s">
        <v>189</v>
      </c>
      <c r="B45" s="223"/>
      <c r="C45" s="223"/>
      <c r="D45" s="223"/>
      <c r="E45" s="223"/>
      <c r="F45" s="223"/>
      <c r="G45" s="223">
        <v>-59407</v>
      </c>
      <c r="H45" s="223">
        <v>-59848</v>
      </c>
      <c r="I45" s="223">
        <v>-60063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3"/>
      <c r="AA45" s="223">
        <v>-60063</v>
      </c>
      <c r="AB45" s="223"/>
      <c r="AC45" s="223"/>
      <c r="AD45" s="223"/>
      <c r="AE45" s="89"/>
      <c r="AF45" s="89"/>
      <c r="AG45" s="89"/>
    </row>
    <row r="46" spans="1:30" ht="11.25">
      <c r="A46" s="222" t="s">
        <v>70</v>
      </c>
      <c r="B46" s="223">
        <v>96</v>
      </c>
      <c r="C46" s="223">
        <v>-417</v>
      </c>
      <c r="D46" s="223">
        <v>-1534</v>
      </c>
      <c r="E46" s="223">
        <v>339</v>
      </c>
      <c r="F46" s="223">
        <v>-766</v>
      </c>
      <c r="G46" s="223">
        <v>-1000</v>
      </c>
      <c r="H46" s="223">
        <v>-1007</v>
      </c>
      <c r="I46" s="223">
        <v>-1020</v>
      </c>
      <c r="J46" s="224"/>
      <c r="K46" s="224">
        <v>-12529</v>
      </c>
      <c r="L46" s="224">
        <v>-11645</v>
      </c>
      <c r="M46" s="224">
        <v>-1006</v>
      </c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3">
        <v>339</v>
      </c>
      <c r="AA46" s="223">
        <v>-1020</v>
      </c>
      <c r="AB46" s="223">
        <v>-1006</v>
      </c>
      <c r="AC46" s="223"/>
      <c r="AD46" s="223"/>
    </row>
    <row r="47" spans="1:30" ht="11.25">
      <c r="A47" s="227" t="s">
        <v>71</v>
      </c>
      <c r="B47" s="228">
        <v>227062</v>
      </c>
      <c r="C47" s="228">
        <v>-639760</v>
      </c>
      <c r="D47" s="228">
        <v>-1074401</v>
      </c>
      <c r="E47" s="228">
        <v>-2042779</v>
      </c>
      <c r="F47" s="228">
        <v>-166508</v>
      </c>
      <c r="G47" s="228">
        <v>-573725</v>
      </c>
      <c r="H47" s="228">
        <v>-807031</v>
      </c>
      <c r="I47" s="228">
        <v>-1267560</v>
      </c>
      <c r="J47" s="229">
        <v>-677180</v>
      </c>
      <c r="K47" s="229">
        <v>-961743</v>
      </c>
      <c r="L47" s="229">
        <v>-1552077</v>
      </c>
      <c r="M47" s="229">
        <v>-2398580</v>
      </c>
      <c r="N47" s="229">
        <v>-870503</v>
      </c>
      <c r="O47" s="229">
        <v>-1324247</v>
      </c>
      <c r="P47" s="229">
        <v>-1273890</v>
      </c>
      <c r="Q47" s="229">
        <v>-1771412</v>
      </c>
      <c r="R47" s="229">
        <v>-227229</v>
      </c>
      <c r="S47" s="229">
        <v>-677060</v>
      </c>
      <c r="T47" s="229">
        <v>-1551693</v>
      </c>
      <c r="U47" s="229">
        <v>-1847427</v>
      </c>
      <c r="V47" s="229">
        <v>-216211</v>
      </c>
      <c r="W47" s="229">
        <v>-804752</v>
      </c>
      <c r="X47" s="229">
        <v>-1134059</v>
      </c>
      <c r="Y47" s="229"/>
      <c r="Z47" s="228">
        <v>-2042779</v>
      </c>
      <c r="AA47" s="228">
        <v>-1267560</v>
      </c>
      <c r="AB47" s="228">
        <v>-2398580</v>
      </c>
      <c r="AC47" s="228">
        <f>Q47</f>
        <v>-1771412</v>
      </c>
      <c r="AD47" s="228">
        <f>U47</f>
        <v>-1847427</v>
      </c>
    </row>
    <row r="48" spans="1:30" ht="11.25">
      <c r="A48" s="230"/>
      <c r="B48" s="220"/>
      <c r="C48" s="220"/>
      <c r="D48" s="220"/>
      <c r="E48" s="220"/>
      <c r="F48" s="220"/>
      <c r="G48" s="220"/>
      <c r="H48" s="220"/>
      <c r="I48" s="220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0"/>
      <c r="AA48" s="220"/>
      <c r="AB48" s="220"/>
      <c r="AC48" s="220"/>
      <c r="AD48" s="220"/>
    </row>
    <row r="49" spans="1:30" ht="11.25">
      <c r="A49" s="231" t="s">
        <v>72</v>
      </c>
      <c r="B49" s="220"/>
      <c r="C49" s="220"/>
      <c r="D49" s="220"/>
      <c r="E49" s="220"/>
      <c r="F49" s="220"/>
      <c r="G49" s="220"/>
      <c r="H49" s="220"/>
      <c r="I49" s="220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0"/>
      <c r="AA49" s="220"/>
      <c r="AB49" s="220"/>
      <c r="AC49" s="220"/>
      <c r="AD49" s="220"/>
    </row>
    <row r="50" spans="1:30" ht="11.25">
      <c r="A50" s="188" t="s">
        <v>73</v>
      </c>
      <c r="B50" s="197">
        <v>8096</v>
      </c>
      <c r="C50" s="197">
        <v>8391</v>
      </c>
      <c r="D50" s="197">
        <v>12026</v>
      </c>
      <c r="E50" s="197">
        <v>224870</v>
      </c>
      <c r="F50" s="197">
        <v>22689</v>
      </c>
      <c r="G50" s="197">
        <v>30118</v>
      </c>
      <c r="H50" s="197">
        <v>39956</v>
      </c>
      <c r="I50" s="197">
        <v>268844</v>
      </c>
      <c r="J50" s="198">
        <v>853254</v>
      </c>
      <c r="K50" s="198">
        <v>937238</v>
      </c>
      <c r="L50" s="199">
        <v>3555504</v>
      </c>
      <c r="M50" s="199">
        <v>3735078</v>
      </c>
      <c r="N50" s="199">
        <v>262905</v>
      </c>
      <c r="O50" s="199">
        <v>374288</v>
      </c>
      <c r="P50" s="198">
        <v>570813</v>
      </c>
      <c r="Q50" s="198">
        <v>1076756</v>
      </c>
      <c r="R50" s="198">
        <v>481999</v>
      </c>
      <c r="S50" s="198">
        <v>538594</v>
      </c>
      <c r="T50" s="198">
        <v>819647</v>
      </c>
      <c r="U50" s="198">
        <v>933873</v>
      </c>
      <c r="V50" s="198">
        <v>14677</v>
      </c>
      <c r="W50" s="198">
        <v>249839</v>
      </c>
      <c r="X50" s="198">
        <v>829950</v>
      </c>
      <c r="Y50" s="198"/>
      <c r="Z50" s="197">
        <v>224870</v>
      </c>
      <c r="AA50" s="197">
        <v>268844</v>
      </c>
      <c r="AB50" s="197">
        <v>3735078</v>
      </c>
      <c r="AC50" s="197">
        <f>Q50</f>
        <v>1076756</v>
      </c>
      <c r="AD50" s="197">
        <f>U50</f>
        <v>933873</v>
      </c>
    </row>
    <row r="51" spans="1:30" ht="11.25">
      <c r="A51" s="188" t="s">
        <v>74</v>
      </c>
      <c r="B51" s="197">
        <v>-14870</v>
      </c>
      <c r="C51" s="197">
        <v>-93156</v>
      </c>
      <c r="D51" s="197">
        <v>-126862</v>
      </c>
      <c r="E51" s="197">
        <v>-183305</v>
      </c>
      <c r="F51" s="197">
        <v>-170343</v>
      </c>
      <c r="G51" s="197">
        <v>-225372</v>
      </c>
      <c r="H51" s="197">
        <v>-259029</v>
      </c>
      <c r="I51" s="197">
        <v>-451802</v>
      </c>
      <c r="J51" s="198">
        <v>-438492</v>
      </c>
      <c r="K51" s="198">
        <v>-976767</v>
      </c>
      <c r="L51" s="199">
        <v>-1741630</v>
      </c>
      <c r="M51" s="199">
        <v>-2248720</v>
      </c>
      <c r="N51" s="199">
        <v>-320770</v>
      </c>
      <c r="O51" s="199">
        <v>-505774</v>
      </c>
      <c r="P51" s="198">
        <v>-1011281</v>
      </c>
      <c r="Q51" s="198">
        <v>-1540242</v>
      </c>
      <c r="R51" s="198">
        <v>-460455</v>
      </c>
      <c r="S51" s="198">
        <v>-610307</v>
      </c>
      <c r="T51" s="198">
        <v>-673877</v>
      </c>
      <c r="U51" s="198">
        <v>-802143</v>
      </c>
      <c r="V51" s="198">
        <v>-122554</v>
      </c>
      <c r="W51" s="198">
        <v>-354093</v>
      </c>
      <c r="X51" s="198">
        <v>-1171552</v>
      </c>
      <c r="Y51" s="198"/>
      <c r="Z51" s="197">
        <v>-183305</v>
      </c>
      <c r="AA51" s="197">
        <v>-451802</v>
      </c>
      <c r="AB51" s="197">
        <v>-2248720</v>
      </c>
      <c r="AC51" s="197">
        <f>Q51</f>
        <v>-1540242</v>
      </c>
      <c r="AD51" s="197">
        <f>U51</f>
        <v>-802143</v>
      </c>
    </row>
    <row r="52" spans="1:30" ht="11.25">
      <c r="A52" s="188" t="s">
        <v>75</v>
      </c>
      <c r="B52" s="197"/>
      <c r="C52" s="197"/>
      <c r="D52" s="197"/>
      <c r="E52" s="197">
        <v>-379</v>
      </c>
      <c r="F52" s="197">
        <v>-739</v>
      </c>
      <c r="G52" s="197">
        <v>-1522</v>
      </c>
      <c r="H52" s="197">
        <v>-2059</v>
      </c>
      <c r="I52" s="197">
        <v>-3066</v>
      </c>
      <c r="J52" s="198">
        <v>-8980</v>
      </c>
      <c r="K52" s="198">
        <v>-53374</v>
      </c>
      <c r="L52" s="199">
        <v>-73054</v>
      </c>
      <c r="M52" s="199">
        <v>-90675</v>
      </c>
      <c r="N52" s="199">
        <v>-17647</v>
      </c>
      <c r="O52" s="199">
        <v>-26679</v>
      </c>
      <c r="P52" s="198">
        <v>-38635</v>
      </c>
      <c r="Q52" s="198">
        <v>-69094</v>
      </c>
      <c r="R52" s="198">
        <v>-16626</v>
      </c>
      <c r="S52" s="198">
        <v>-26251</v>
      </c>
      <c r="T52" s="198">
        <v>-36734</v>
      </c>
      <c r="U52" s="198">
        <v>-46356</v>
      </c>
      <c r="V52" s="198"/>
      <c r="W52" s="198">
        <v>-25458</v>
      </c>
      <c r="X52" s="198">
        <v>-29805</v>
      </c>
      <c r="Y52" s="198"/>
      <c r="Z52" s="197">
        <v>-379</v>
      </c>
      <c r="AA52" s="197">
        <v>-3066</v>
      </c>
      <c r="AB52" s="197">
        <v>-90675</v>
      </c>
      <c r="AC52" s="197">
        <f>Q52</f>
        <v>-69094</v>
      </c>
      <c r="AD52" s="197">
        <f>U52</f>
        <v>-46356</v>
      </c>
    </row>
    <row r="53" spans="1:30" ht="11.25">
      <c r="A53" s="226" t="s">
        <v>76</v>
      </c>
      <c r="B53" s="197"/>
      <c r="C53" s="197"/>
      <c r="D53" s="197"/>
      <c r="E53" s="197"/>
      <c r="F53" s="197">
        <v>78469</v>
      </c>
      <c r="G53" s="197">
        <v>78469</v>
      </c>
      <c r="H53" s="197">
        <v>78469</v>
      </c>
      <c r="I53" s="197">
        <v>78469</v>
      </c>
      <c r="J53" s="198"/>
      <c r="K53" s="198"/>
      <c r="L53" s="199"/>
      <c r="M53" s="199"/>
      <c r="N53" s="199"/>
      <c r="O53" s="199"/>
      <c r="P53" s="198"/>
      <c r="Q53" s="198"/>
      <c r="R53" s="198"/>
      <c r="S53" s="198"/>
      <c r="T53" s="198"/>
      <c r="U53" s="198"/>
      <c r="V53" s="198"/>
      <c r="W53" s="198">
        <v>313246</v>
      </c>
      <c r="X53" s="198">
        <v>313246</v>
      </c>
      <c r="Y53" s="198"/>
      <c r="Z53" s="197"/>
      <c r="AA53" s="197">
        <v>78469</v>
      </c>
      <c r="AB53" s="197"/>
      <c r="AC53" s="197"/>
      <c r="AD53" s="197"/>
    </row>
    <row r="54" spans="1:30" ht="11.25">
      <c r="A54" s="222" t="s">
        <v>77</v>
      </c>
      <c r="B54" s="223"/>
      <c r="C54" s="223"/>
      <c r="D54" s="223"/>
      <c r="E54" s="223"/>
      <c r="F54" s="223"/>
      <c r="G54" s="223"/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3"/>
      <c r="AA54" s="223"/>
      <c r="AB54" s="223"/>
      <c r="AC54" s="223"/>
      <c r="AD54" s="223"/>
    </row>
    <row r="55" spans="1:30" ht="11.25">
      <c r="A55" s="222" t="s">
        <v>78</v>
      </c>
      <c r="B55" s="223">
        <v>-104000</v>
      </c>
      <c r="C55" s="223">
        <v>-104000</v>
      </c>
      <c r="D55" s="223">
        <v>-104000</v>
      </c>
      <c r="E55" s="223">
        <v>-104000</v>
      </c>
      <c r="F55" s="223"/>
      <c r="G55" s="223"/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3">
        <v>-104000</v>
      </c>
      <c r="AA55" s="223"/>
      <c r="AB55" s="223"/>
      <c r="AC55" s="223"/>
      <c r="AD55" s="223"/>
    </row>
    <row r="56" spans="1:30" ht="11.25">
      <c r="A56" s="222" t="s">
        <v>163</v>
      </c>
      <c r="B56" s="223"/>
      <c r="C56" s="223"/>
      <c r="D56" s="223"/>
      <c r="E56" s="223">
        <v>-83547</v>
      </c>
      <c r="F56" s="223"/>
      <c r="G56" s="223"/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3">
        <v>-83547</v>
      </c>
      <c r="AA56" s="223"/>
      <c r="AB56" s="223"/>
      <c r="AC56" s="223"/>
      <c r="AD56" s="223"/>
    </row>
    <row r="57" spans="1:30" ht="11.25">
      <c r="A57" s="222" t="s">
        <v>200</v>
      </c>
      <c r="B57" s="223"/>
      <c r="C57" s="223"/>
      <c r="D57" s="223"/>
      <c r="E57" s="223"/>
      <c r="F57" s="223"/>
      <c r="G57" s="223"/>
      <c r="H57" s="223"/>
      <c r="I57" s="223"/>
      <c r="J57" s="224"/>
      <c r="K57" s="224"/>
      <c r="L57" s="224"/>
      <c r="M57" s="224">
        <v>258182</v>
      </c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3"/>
      <c r="AA57" s="223"/>
      <c r="AB57" s="223">
        <v>258182</v>
      </c>
      <c r="AC57" s="223"/>
      <c r="AD57" s="223"/>
    </row>
    <row r="58" spans="1:30" ht="11.25">
      <c r="A58" s="222" t="s">
        <v>79</v>
      </c>
      <c r="B58" s="223"/>
      <c r="C58" s="223"/>
      <c r="D58" s="223"/>
      <c r="E58" s="223">
        <v>-20228</v>
      </c>
      <c r="F58" s="223"/>
      <c r="G58" s="223">
        <v>-8070</v>
      </c>
      <c r="H58" s="223">
        <v>-21553</v>
      </c>
      <c r="I58" s="223">
        <v>-19146</v>
      </c>
      <c r="J58" s="224">
        <v>-21</v>
      </c>
      <c r="K58" s="224">
        <v>-5628</v>
      </c>
      <c r="L58" s="224">
        <v>-11696</v>
      </c>
      <c r="M58" s="224">
        <v>-12324</v>
      </c>
      <c r="N58" s="224">
        <v>-4</v>
      </c>
      <c r="O58" s="224">
        <v>-4</v>
      </c>
      <c r="P58" s="224">
        <v>-4</v>
      </c>
      <c r="Q58" s="224">
        <v>-127</v>
      </c>
      <c r="R58" s="224"/>
      <c r="S58" s="224"/>
      <c r="T58" s="224"/>
      <c r="U58" s="224"/>
      <c r="V58" s="224"/>
      <c r="W58" s="224"/>
      <c r="X58" s="224"/>
      <c r="Y58" s="224"/>
      <c r="Z58" s="223">
        <v>-20228</v>
      </c>
      <c r="AA58" s="223">
        <v>-19146</v>
      </c>
      <c r="AB58" s="223">
        <v>-12324</v>
      </c>
      <c r="AC58" s="223">
        <f>Q58</f>
        <v>-127</v>
      </c>
      <c r="AD58" s="223"/>
    </row>
    <row r="59" spans="1:30" ht="11.25">
      <c r="A59" s="226" t="s">
        <v>80</v>
      </c>
      <c r="B59" s="223">
        <v>-398</v>
      </c>
      <c r="C59" s="223">
        <v>-336114</v>
      </c>
      <c r="D59" s="223">
        <v>-432376</v>
      </c>
      <c r="E59" s="223">
        <v>-766646</v>
      </c>
      <c r="F59" s="223">
        <v>-346</v>
      </c>
      <c r="G59" s="223">
        <v>-4258</v>
      </c>
      <c r="H59" s="223">
        <v>-347595</v>
      </c>
      <c r="I59" s="223">
        <v>-702983</v>
      </c>
      <c r="J59" s="224">
        <v>-252</v>
      </c>
      <c r="K59" s="224">
        <v>-3233</v>
      </c>
      <c r="L59" s="224">
        <v>-364506</v>
      </c>
      <c r="M59" s="224">
        <v>-842792</v>
      </c>
      <c r="N59" s="224">
        <v>-916</v>
      </c>
      <c r="O59" s="224">
        <v>-1031</v>
      </c>
      <c r="P59" s="224">
        <v>-1116</v>
      </c>
      <c r="Q59" s="224">
        <v>-1981</v>
      </c>
      <c r="R59" s="224">
        <v>-5</v>
      </c>
      <c r="S59" s="224">
        <v>-257</v>
      </c>
      <c r="T59" s="224">
        <v>-42965</v>
      </c>
      <c r="U59" s="224">
        <v>-164501</v>
      </c>
      <c r="V59" s="224">
        <v>-117</v>
      </c>
      <c r="W59" s="224">
        <v>-3748</v>
      </c>
      <c r="X59" s="224">
        <v>-247286</v>
      </c>
      <c r="Y59" s="224"/>
      <c r="Z59" s="223">
        <v>-766646</v>
      </c>
      <c r="AA59" s="223">
        <v>-702983</v>
      </c>
      <c r="AB59" s="223">
        <v>-842792</v>
      </c>
      <c r="AC59" s="223">
        <f>Q59</f>
        <v>-1981</v>
      </c>
      <c r="AD59" s="223">
        <f>U59</f>
        <v>-164501</v>
      </c>
    </row>
    <row r="60" spans="1:30" ht="11.25">
      <c r="A60" s="232" t="s">
        <v>81</v>
      </c>
      <c r="B60" s="228">
        <v>-111172</v>
      </c>
      <c r="C60" s="228">
        <v>-524879</v>
      </c>
      <c r="D60" s="228">
        <v>-651212</v>
      </c>
      <c r="E60" s="228">
        <v>-933235</v>
      </c>
      <c r="F60" s="228">
        <v>-70270</v>
      </c>
      <c r="G60" s="228">
        <v>-130635</v>
      </c>
      <c r="H60" s="228">
        <v>-511811</v>
      </c>
      <c r="I60" s="228">
        <v>-829684</v>
      </c>
      <c r="J60" s="229">
        <v>405509</v>
      </c>
      <c r="K60" s="229">
        <v>-101764</v>
      </c>
      <c r="L60" s="229">
        <v>1364618</v>
      </c>
      <c r="M60" s="229">
        <v>798749</v>
      </c>
      <c r="N60" s="229">
        <v>-76432</v>
      </c>
      <c r="O60" s="229">
        <v>-159200</v>
      </c>
      <c r="P60" s="229">
        <v>-480223</v>
      </c>
      <c r="Q60" s="229">
        <v>-534688</v>
      </c>
      <c r="R60" s="229">
        <v>4913</v>
      </c>
      <c r="S60" s="229">
        <v>-98221</v>
      </c>
      <c r="T60" s="229">
        <v>66071</v>
      </c>
      <c r="U60" s="229">
        <v>-79127</v>
      </c>
      <c r="V60" s="229">
        <v>-107994</v>
      </c>
      <c r="W60" s="229">
        <v>179786</v>
      </c>
      <c r="X60" s="229">
        <v>-305447</v>
      </c>
      <c r="Y60" s="229"/>
      <c r="Z60" s="228">
        <v>-933235</v>
      </c>
      <c r="AA60" s="228">
        <v>-829684</v>
      </c>
      <c r="AB60" s="228">
        <v>798749</v>
      </c>
      <c r="AC60" s="228">
        <f>Q60</f>
        <v>-534688</v>
      </c>
      <c r="AD60" s="228">
        <f>U60</f>
        <v>-79127</v>
      </c>
    </row>
    <row r="61" spans="1:30" ht="11.25">
      <c r="A61" s="230"/>
      <c r="B61" s="220"/>
      <c r="C61" s="220"/>
      <c r="D61" s="220"/>
      <c r="E61" s="220"/>
      <c r="F61" s="220"/>
      <c r="G61" s="220"/>
      <c r="H61" s="220"/>
      <c r="I61" s="220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0"/>
      <c r="AA61" s="220"/>
      <c r="AB61" s="220"/>
      <c r="AC61" s="220"/>
      <c r="AD61" s="220"/>
    </row>
    <row r="62" spans="1:30" ht="11.25">
      <c r="A62" s="222" t="s">
        <v>164</v>
      </c>
      <c r="B62" s="223"/>
      <c r="C62" s="223"/>
      <c r="D62" s="223"/>
      <c r="E62" s="223"/>
      <c r="F62" s="223">
        <v>-136</v>
      </c>
      <c r="G62" s="223"/>
      <c r="H62" s="223"/>
      <c r="I62" s="223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3"/>
      <c r="AA62" s="223"/>
      <c r="AB62" s="223"/>
      <c r="AC62" s="223"/>
      <c r="AD62" s="223"/>
    </row>
    <row r="63" spans="1:30" ht="11.25">
      <c r="A63" s="233" t="s">
        <v>82</v>
      </c>
      <c r="B63" s="234">
        <v>274981</v>
      </c>
      <c r="C63" s="234">
        <v>-636862</v>
      </c>
      <c r="D63" s="234">
        <v>-696126</v>
      </c>
      <c r="E63" s="234">
        <v>-1390925</v>
      </c>
      <c r="F63" s="234">
        <v>222396</v>
      </c>
      <c r="G63" s="234">
        <v>662557</v>
      </c>
      <c r="H63" s="234">
        <v>660198</v>
      </c>
      <c r="I63" s="234">
        <v>426659</v>
      </c>
      <c r="J63" s="235">
        <v>-21605</v>
      </c>
      <c r="K63" s="235">
        <v>120658</v>
      </c>
      <c r="L63" s="235">
        <v>1700601</v>
      </c>
      <c r="M63" s="235">
        <v>1180931</v>
      </c>
      <c r="N63" s="235">
        <v>-564772</v>
      </c>
      <c r="O63" s="235">
        <v>-556282</v>
      </c>
      <c r="P63" s="235">
        <v>-503063</v>
      </c>
      <c r="Q63" s="235">
        <v>-911841</v>
      </c>
      <c r="R63" s="235">
        <v>-119596</v>
      </c>
      <c r="S63" s="235">
        <v>-326584</v>
      </c>
      <c r="T63" s="235">
        <v>-478978</v>
      </c>
      <c r="U63" s="235">
        <v>-495457</v>
      </c>
      <c r="V63" s="235">
        <v>218091</v>
      </c>
      <c r="W63" s="235">
        <v>201558</v>
      </c>
      <c r="X63" s="235">
        <v>45443</v>
      </c>
      <c r="Y63" s="235"/>
      <c r="Z63" s="234">
        <v>-1390925</v>
      </c>
      <c r="AA63" s="234">
        <v>426659</v>
      </c>
      <c r="AB63" s="234">
        <v>1180931</v>
      </c>
      <c r="AC63" s="234">
        <f>Q63</f>
        <v>-911841</v>
      </c>
      <c r="AD63" s="234">
        <f>U63</f>
        <v>-495457</v>
      </c>
    </row>
    <row r="64" spans="1:30" ht="11.25">
      <c r="A64" s="236"/>
      <c r="B64" s="204"/>
      <c r="C64" s="204"/>
      <c r="D64" s="204"/>
      <c r="E64" s="204"/>
      <c r="F64" s="204"/>
      <c r="G64" s="204"/>
      <c r="H64" s="204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4"/>
      <c r="AA64" s="204"/>
      <c r="AB64" s="204"/>
      <c r="AC64" s="204"/>
      <c r="AD64" s="204"/>
    </row>
    <row r="65" spans="1:30" ht="11.25">
      <c r="A65" s="237" t="s">
        <v>83</v>
      </c>
      <c r="B65" s="238">
        <v>72135</v>
      </c>
      <c r="C65" s="238">
        <v>98307</v>
      </c>
      <c r="D65" s="238">
        <v>114414</v>
      </c>
      <c r="E65" s="238">
        <v>131990</v>
      </c>
      <c r="F65" s="238">
        <v>10700</v>
      </c>
      <c r="G65" s="238">
        <v>20786</v>
      </c>
      <c r="H65" s="238">
        <v>63057</v>
      </c>
      <c r="I65" s="238">
        <v>62769</v>
      </c>
      <c r="J65" s="239">
        <v>48338</v>
      </c>
      <c r="K65" s="239">
        <v>50043</v>
      </c>
      <c r="L65" s="239">
        <v>-119814</v>
      </c>
      <c r="M65" s="239">
        <v>-175583</v>
      </c>
      <c r="N65" s="239">
        <v>-49072</v>
      </c>
      <c r="O65" s="239">
        <v>-13196</v>
      </c>
      <c r="P65" s="239">
        <v>-15358</v>
      </c>
      <c r="Q65" s="239">
        <v>-1100</v>
      </c>
      <c r="R65" s="239">
        <v>29853</v>
      </c>
      <c r="S65" s="239">
        <v>32721</v>
      </c>
      <c r="T65" s="239">
        <v>11861</v>
      </c>
      <c r="U65" s="239">
        <v>-3612</v>
      </c>
      <c r="V65" s="239">
        <v>11280</v>
      </c>
      <c r="W65" s="239">
        <v>-38102</v>
      </c>
      <c r="X65" s="239">
        <v>36609</v>
      </c>
      <c r="Y65" s="239"/>
      <c r="Z65" s="238">
        <v>131990</v>
      </c>
      <c r="AA65" s="238">
        <v>62769</v>
      </c>
      <c r="AB65" s="238">
        <v>-175583</v>
      </c>
      <c r="AC65" s="238">
        <f>Q65</f>
        <v>-1100</v>
      </c>
      <c r="AD65" s="238">
        <f>U65</f>
        <v>-3612</v>
      </c>
    </row>
    <row r="66" spans="1:30" ht="11.25">
      <c r="A66" s="236"/>
      <c r="B66" s="204"/>
      <c r="C66" s="204"/>
      <c r="D66" s="204"/>
      <c r="E66" s="204"/>
      <c r="F66" s="204"/>
      <c r="G66" s="204"/>
      <c r="H66" s="204"/>
      <c r="I66" s="204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4"/>
      <c r="AA66" s="204"/>
      <c r="AB66" s="204"/>
      <c r="AC66" s="204"/>
      <c r="AD66" s="204"/>
    </row>
    <row r="67" spans="1:30" ht="11.25">
      <c r="A67" s="240" t="s">
        <v>84</v>
      </c>
      <c r="B67" s="241">
        <v>1924148</v>
      </c>
      <c r="C67" s="241">
        <v>1924148</v>
      </c>
      <c r="D67" s="241">
        <v>1924148</v>
      </c>
      <c r="E67" s="241">
        <v>1924148</v>
      </c>
      <c r="F67" s="241">
        <v>665213</v>
      </c>
      <c r="G67" s="241">
        <v>665213</v>
      </c>
      <c r="H67" s="241">
        <v>665213</v>
      </c>
      <c r="I67" s="241">
        <v>665213</v>
      </c>
      <c r="J67" s="242">
        <v>1154641</v>
      </c>
      <c r="K67" s="242">
        <v>1154641</v>
      </c>
      <c r="L67" s="242">
        <v>1154641</v>
      </c>
      <c r="M67" s="242">
        <v>1154641</v>
      </c>
      <c r="N67" s="242">
        <v>2159989</v>
      </c>
      <c r="O67" s="242">
        <v>2159989</v>
      </c>
      <c r="P67" s="242">
        <v>2159989</v>
      </c>
      <c r="Q67" s="242">
        <v>2159989</v>
      </c>
      <c r="R67" s="242">
        <v>1247048</v>
      </c>
      <c r="S67" s="242">
        <v>1247048</v>
      </c>
      <c r="T67" s="242">
        <v>1247048</v>
      </c>
      <c r="U67" s="242">
        <v>1247048</v>
      </c>
      <c r="V67" s="242">
        <v>747979</v>
      </c>
      <c r="W67" s="242">
        <v>747979</v>
      </c>
      <c r="X67" s="242">
        <v>747979</v>
      </c>
      <c r="Y67" s="242"/>
      <c r="Z67" s="241">
        <v>1924148</v>
      </c>
      <c r="AA67" s="241">
        <v>665213</v>
      </c>
      <c r="AB67" s="241">
        <v>1154641</v>
      </c>
      <c r="AC67" s="241">
        <f>Q67</f>
        <v>2159989</v>
      </c>
      <c r="AD67" s="241">
        <f>U67</f>
        <v>1247048</v>
      </c>
    </row>
    <row r="68" spans="1:30" ht="11.25">
      <c r="A68" s="236"/>
      <c r="B68" s="204"/>
      <c r="C68" s="204"/>
      <c r="D68" s="204"/>
      <c r="E68" s="204"/>
      <c r="F68" s="204"/>
      <c r="G68" s="204"/>
      <c r="H68" s="204"/>
      <c r="I68" s="204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4"/>
      <c r="AA68" s="204"/>
      <c r="AB68" s="204"/>
      <c r="AC68" s="204"/>
      <c r="AD68" s="204"/>
    </row>
    <row r="69" spans="1:30" ht="12" thickBot="1">
      <c r="A69" s="243" t="s">
        <v>85</v>
      </c>
      <c r="B69" s="244">
        <v>2271264</v>
      </c>
      <c r="C69" s="244">
        <v>1385593</v>
      </c>
      <c r="D69" s="244">
        <v>1342436</v>
      </c>
      <c r="E69" s="244">
        <v>665213</v>
      </c>
      <c r="F69" s="244">
        <v>898309</v>
      </c>
      <c r="G69" s="244">
        <v>1348556</v>
      </c>
      <c r="H69" s="244">
        <v>1388468</v>
      </c>
      <c r="I69" s="244">
        <v>1154641</v>
      </c>
      <c r="J69" s="245">
        <v>1181374</v>
      </c>
      <c r="K69" s="245">
        <v>1325342</v>
      </c>
      <c r="L69" s="245">
        <v>2735428</v>
      </c>
      <c r="M69" s="245">
        <v>2159989</v>
      </c>
      <c r="N69" s="245">
        <v>1546145</v>
      </c>
      <c r="O69" s="245">
        <v>1590511</v>
      </c>
      <c r="P69" s="245">
        <v>1641568</v>
      </c>
      <c r="Q69" s="245">
        <v>1247048</v>
      </c>
      <c r="R69" s="245">
        <v>1157305</v>
      </c>
      <c r="S69" s="245">
        <v>953185</v>
      </c>
      <c r="T69" s="245">
        <v>779931</v>
      </c>
      <c r="U69" s="245">
        <v>747979</v>
      </c>
      <c r="V69" s="245">
        <v>977350</v>
      </c>
      <c r="W69" s="245">
        <v>911435</v>
      </c>
      <c r="X69" s="245">
        <v>830031</v>
      </c>
      <c r="Y69" s="245"/>
      <c r="Z69" s="244">
        <v>665213</v>
      </c>
      <c r="AA69" s="244">
        <v>1154641</v>
      </c>
      <c r="AB69" s="244">
        <v>2159989</v>
      </c>
      <c r="AC69" s="244">
        <f>Q69</f>
        <v>1247048</v>
      </c>
      <c r="AD69" s="244">
        <f>U69</f>
        <v>747979</v>
      </c>
    </row>
    <row r="70" spans="2:28" ht="11.2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202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</row>
    <row r="71" spans="2:28" ht="11.2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</row>
    <row r="72" spans="2:28" ht="11.2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</row>
    <row r="73" spans="1:28" ht="11.25">
      <c r="A73" s="89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</row>
    <row r="74" spans="1:28" ht="11.25">
      <c r="A74" s="8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</row>
    <row r="75" spans="1:28" ht="11.25">
      <c r="A75" s="89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</row>
    <row r="76" spans="2:28" ht="11.2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</row>
    <row r="77" spans="2:28" ht="11.2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</row>
    <row r="78" spans="2:28" ht="11.25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</row>
    <row r="79" spans="2:28" ht="11.25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</row>
    <row r="80" spans="2:28" ht="11.25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</row>
    <row r="81" spans="2:28" ht="11.2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</row>
    <row r="82" spans="2:28" ht="11.25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</row>
    <row r="83" spans="2:28" ht="11.25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</row>
    <row r="84" spans="2:28" ht="11.25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</row>
    <row r="85" spans="2:28" ht="11.25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</row>
    <row r="86" spans="2:28" ht="11.25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</row>
    <row r="87" spans="1:28" ht="11.25">
      <c r="A87" s="89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</row>
    <row r="88" spans="1:28" ht="11.25">
      <c r="A88" s="89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</row>
    <row r="89" spans="2:28" ht="11.25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2:28" ht="11.25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2:28" ht="11.2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</row>
    <row r="92" spans="2:28" ht="11.25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</row>
    <row r="93" spans="2:28" ht="11.25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</row>
    <row r="94" spans="2:28" ht="11.2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</row>
    <row r="95" spans="2:28" ht="11.25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</row>
    <row r="96" spans="2:28" ht="11.25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</row>
    <row r="97" spans="2:28" ht="11.25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</row>
    <row r="98" spans="2:28" ht="11.25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</row>
    <row r="99" spans="2:28" ht="11.25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2:28" ht="11.25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</row>
    <row r="101" spans="2:28" ht="11.25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</row>
    <row r="102" spans="2:28" ht="11.25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</row>
    <row r="103" spans="2:28" ht="11.25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</row>
    <row r="104" spans="2:28" ht="11.25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</row>
    <row r="105" spans="2:28" ht="11.25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</row>
    <row r="106" spans="2:28" ht="11.25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</row>
    <row r="107" spans="2:28" ht="11.25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</row>
    <row r="108" spans="2:28" ht="11.2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</row>
    <row r="109" spans="2:28" ht="11.2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</row>
    <row r="110" spans="2:28" ht="11.25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</row>
    <row r="111" spans="2:28" ht="11.25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</row>
    <row r="112" spans="2:28" ht="11.25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</row>
    <row r="113" spans="2:28" ht="11.25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</row>
    <row r="114" spans="2:28" ht="11.25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</row>
    <row r="115" spans="2:28" ht="11.25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</row>
    <row r="116" spans="2:28" ht="11.25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</row>
    <row r="117" spans="2:28" ht="11.25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</row>
    <row r="118" spans="2:28" ht="11.25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</row>
    <row r="119" spans="2:28" ht="11.25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</row>
    <row r="120" spans="2:28" ht="11.25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</row>
    <row r="121" spans="2:28" ht="11.25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</row>
    <row r="122" spans="2:28" ht="11.25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</row>
    <row r="123" spans="2:28" ht="11.25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</row>
    <row r="124" spans="2:28" ht="11.25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</row>
    <row r="125" spans="2:28" ht="11.25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</row>
    <row r="126" spans="2:28" ht="11.25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</row>
    <row r="127" spans="2:28" ht="11.25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</row>
    <row r="128" spans="2:28" ht="11.25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</row>
    <row r="129" spans="2:28" ht="11.25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</row>
    <row r="130" spans="2:28" ht="11.25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</row>
    <row r="131" spans="2:28" ht="11.25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</row>
    <row r="132" spans="2:28" ht="11.25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</row>
    <row r="133" spans="2:28" ht="11.25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</row>
    <row r="134" spans="2:28" ht="11.25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</row>
    <row r="135" spans="2:28" ht="11.25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</row>
    <row r="136" spans="2:28" ht="11.25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</row>
    <row r="137" spans="2:28" ht="11.2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</row>
    <row r="138" spans="2:28" ht="11.2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</row>
    <row r="139" spans="2:28" ht="11.2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</row>
    <row r="140" spans="2:28" ht="11.2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</row>
    <row r="141" spans="2:28" ht="11.2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</row>
    <row r="142" spans="2:28" ht="11.25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</row>
    <row r="143" spans="2:28" ht="11.25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</row>
    <row r="144" spans="2:28" ht="11.25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</row>
    <row r="145" spans="2:28" ht="11.25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pavlov_sv</cp:lastModifiedBy>
  <cp:lastPrinted>2010-04-07T05:46:51Z</cp:lastPrinted>
  <dcterms:created xsi:type="dcterms:W3CDTF">2007-07-03T17:08:43Z</dcterms:created>
  <dcterms:modified xsi:type="dcterms:W3CDTF">2011-11-21T11:37:05Z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