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duschenko_ma\Documents\Презентации\Сайт\2014\Q4 2014\"/>
    </mc:Choice>
  </mc:AlternateContent>
  <bookViews>
    <workbookView xWindow="10410" yWindow="855" windowWidth="15360" windowHeight="8115" tabRatio="868"/>
  </bookViews>
  <sheets>
    <sheet name="Cover" sheetId="21" r:id="rId1"/>
    <sheet name="Multiples" sheetId="12" r:id="rId2"/>
    <sheet name="Steel segment" sheetId="1" r:id="rId3"/>
    <sheet name="Long products segment" sheetId="20" r:id="rId4"/>
    <sheet name="Mining segment" sheetId="15" r:id="rId5"/>
    <sheet name="Foreign rolled products segment" sheetId="23" r:id="rId6"/>
    <sheet name="Other segment" sheetId="16" r:id="rId7"/>
    <sheet name="P&amp;L" sheetId="17" r:id="rId8"/>
    <sheet name="CashFlow" sheetId="18" r:id="rId9"/>
    <sheet name="Balance Sheet" sheetId="19" r:id="rId10"/>
  </sheets>
  <definedNames>
    <definedName name="Выручка_отчетный_период" localSheetId="7">'P&amp;L'!$BG$9</definedName>
    <definedName name="_xlnm.Print_Area" localSheetId="9">'Balance Sheet'!$A$1:$AU$51</definedName>
    <definedName name="_xlnm.Print_Area" localSheetId="8">CashFlow!$A$1:$AU$77</definedName>
    <definedName name="_xlnm.Print_Area" localSheetId="5">'Foreign rolled products segment'!$A$1:$AB$51</definedName>
    <definedName name="_xlnm.Print_Area" localSheetId="3">'Long products segment'!$A$1:$AV$50</definedName>
    <definedName name="_xlnm.Print_Area" localSheetId="4">'Mining segment'!$A$1:$AV$48</definedName>
    <definedName name="_xlnm.Print_Area" localSheetId="1">Multiples!$A$1:$AV$22</definedName>
    <definedName name="_xlnm.Print_Area" localSheetId="6">'Other segment'!$A$1:$AV$14</definedName>
    <definedName name="_xlnm.Print_Area" localSheetId="7">'P&amp;L'!$A$1:$AV$63</definedName>
    <definedName name="_xlnm.Print_Area" localSheetId="2">'Steel segment'!$A$1:$AV$56</definedName>
  </definedNames>
  <calcPr calcId="152511"/>
  <fileRecoveryPr repairLoad="1"/>
</workbook>
</file>

<file path=xl/calcChain.xml><?xml version="1.0" encoding="utf-8"?>
<calcChain xmlns="http://schemas.openxmlformats.org/spreadsheetml/2006/main">
  <c r="AV19" i="12" l="1"/>
  <c r="AV18" i="12"/>
  <c r="AV17" i="12"/>
  <c r="AV16" i="12"/>
  <c r="AV13" i="12"/>
  <c r="AV12" i="12"/>
  <c r="AV10" i="12"/>
  <c r="AV9" i="12"/>
  <c r="AV8" i="12"/>
  <c r="AV7" i="12"/>
  <c r="AV6" i="12"/>
  <c r="AV5" i="12"/>
  <c r="AV4" i="12"/>
  <c r="AK13" i="12"/>
  <c r="AK18" i="12"/>
  <c r="AK17" i="12"/>
  <c r="AK16" i="12"/>
  <c r="AK12" i="12"/>
  <c r="AK10" i="12"/>
  <c r="AK9" i="12"/>
  <c r="AK8" i="12"/>
  <c r="AK7" i="12"/>
  <c r="AK6" i="12"/>
  <c r="AK5" i="12"/>
  <c r="AV13" i="16"/>
  <c r="AV8" i="16"/>
  <c r="AV6" i="16"/>
  <c r="AV4" i="16"/>
  <c r="AV14" i="16"/>
  <c r="AV9" i="16"/>
  <c r="AV7" i="16"/>
  <c r="AV5" i="16"/>
  <c r="Q47" i="23"/>
  <c r="Q46" i="23"/>
  <c r="AB54" i="23" l="1"/>
  <c r="AB47" i="23"/>
  <c r="AB46" i="23"/>
  <c r="AB41" i="23"/>
  <c r="AB42" i="23" s="1"/>
  <c r="AB33" i="23"/>
  <c r="AB34" i="23" s="1"/>
  <c r="AB31" i="23"/>
  <c r="AB32" i="23" s="1"/>
  <c r="AB29" i="23"/>
  <c r="AB27" i="23"/>
  <c r="AB28" i="23" s="1"/>
  <c r="AB25" i="23"/>
  <c r="AB26" i="23" s="1"/>
  <c r="AB21" i="23"/>
  <c r="AB22" i="23" s="1"/>
  <c r="AB19" i="23"/>
  <c r="AB20" i="23" s="1"/>
  <c r="AB17" i="23"/>
  <c r="AB18" i="23" s="1"/>
  <c r="AB15" i="23"/>
  <c r="AB16" i="23" s="1"/>
  <c r="AB10" i="23"/>
  <c r="AB8" i="23"/>
  <c r="AB9" i="23" s="1"/>
  <c r="AB6" i="23"/>
  <c r="AB7" i="23" s="1"/>
  <c r="AB4" i="23"/>
  <c r="AB5" i="23" s="1"/>
  <c r="AB11" i="23"/>
  <c r="AB30" i="23"/>
  <c r="Q55" i="23"/>
  <c r="Q38" i="23" s="1"/>
  <c r="Q49" i="23"/>
  <c r="AB49" i="23" s="1"/>
  <c r="Q45" i="23"/>
  <c r="AB45" i="23" s="1"/>
  <c r="Q36" i="23" l="1"/>
  <c r="AB55" i="23"/>
  <c r="AB36" i="23" s="1"/>
  <c r="Q37" i="23"/>
  <c r="AV50" i="15"/>
  <c r="AV45" i="15"/>
  <c r="AV42" i="15"/>
  <c r="AV37" i="15"/>
  <c r="AV38" i="15" s="1"/>
  <c r="AV29" i="15"/>
  <c r="AV30" i="15" s="1"/>
  <c r="AV27" i="15"/>
  <c r="AV28" i="15" s="1"/>
  <c r="AV25" i="15"/>
  <c r="AV26" i="15" s="1"/>
  <c r="AV23" i="15"/>
  <c r="AV24" i="15" s="1"/>
  <c r="AV21" i="15"/>
  <c r="AV51" i="15" s="1"/>
  <c r="AV17" i="15"/>
  <c r="AV18" i="15" s="1"/>
  <c r="AV15" i="15"/>
  <c r="AV13" i="15"/>
  <c r="AV14" i="15" s="1"/>
  <c r="AV9" i="15"/>
  <c r="AV10" i="15" s="1"/>
  <c r="AV7" i="15"/>
  <c r="AV8" i="15" s="1"/>
  <c r="AV5" i="15"/>
  <c r="AV6" i="15" s="1"/>
  <c r="AV16" i="15"/>
  <c r="AK51" i="15"/>
  <c r="AK32" i="15" s="1"/>
  <c r="AK43" i="15"/>
  <c r="AV43" i="15" s="1"/>
  <c r="AK41" i="15"/>
  <c r="AV41" i="15" s="1"/>
  <c r="AV40" i="20"/>
  <c r="AV41" i="20" s="1"/>
  <c r="AV53" i="20"/>
  <c r="AV54" i="20" s="1"/>
  <c r="AV37" i="20" s="1"/>
  <c r="AV45" i="20"/>
  <c r="AV32" i="20"/>
  <c r="AV33" i="20" s="1"/>
  <c r="AV30" i="20"/>
  <c r="AV28" i="20"/>
  <c r="AV29" i="20" s="1"/>
  <c r="AV26" i="20"/>
  <c r="AV27" i="20" s="1"/>
  <c r="AV24" i="20"/>
  <c r="AV25" i="20" s="1"/>
  <c r="AV20" i="20"/>
  <c r="AV21" i="20" s="1"/>
  <c r="AV18" i="20"/>
  <c r="AV19" i="20" s="1"/>
  <c r="AV16" i="20"/>
  <c r="AV14" i="20"/>
  <c r="AV15" i="20" s="1"/>
  <c r="AV10" i="20"/>
  <c r="AV8" i="20"/>
  <c r="AV9" i="20" s="1"/>
  <c r="AV6" i="20"/>
  <c r="AV4" i="20"/>
  <c r="AV5" i="20" s="1"/>
  <c r="AV7" i="20"/>
  <c r="AV11" i="20"/>
  <c r="AV17" i="20"/>
  <c r="AV31" i="20"/>
  <c r="AK54" i="20"/>
  <c r="AK37" i="20" s="1"/>
  <c r="AK45" i="20"/>
  <c r="AV59" i="1"/>
  <c r="AV50" i="1"/>
  <c r="AV49" i="1"/>
  <c r="AV48" i="1"/>
  <c r="AV44" i="1"/>
  <c r="AV36" i="1"/>
  <c r="AV34" i="1"/>
  <c r="AV35" i="1" s="1"/>
  <c r="AV32" i="1"/>
  <c r="AV30" i="1"/>
  <c r="AV31" i="1" s="1"/>
  <c r="AV28" i="1"/>
  <c r="AV24" i="1"/>
  <c r="AV25" i="1" s="1"/>
  <c r="AV22" i="1"/>
  <c r="AV23" i="1" s="1"/>
  <c r="AV20" i="1"/>
  <c r="AV21" i="1" s="1"/>
  <c r="AV18" i="1"/>
  <c r="AV16" i="1"/>
  <c r="AV17" i="1" s="1"/>
  <c r="AV12" i="1"/>
  <c r="AV10" i="1"/>
  <c r="AV11" i="1" s="1"/>
  <c r="AV8" i="1"/>
  <c r="AV6" i="1"/>
  <c r="AV7" i="1" s="1"/>
  <c r="AV4" i="1"/>
  <c r="AV5" i="1"/>
  <c r="AV9" i="1"/>
  <c r="AV13" i="1"/>
  <c r="AV19" i="1"/>
  <c r="AV29" i="1"/>
  <c r="AV33" i="1"/>
  <c r="AV37" i="1"/>
  <c r="AV45" i="1"/>
  <c r="AB38" i="23" l="1"/>
  <c r="AB37" i="23"/>
  <c r="AV34" i="15"/>
  <c r="AV22" i="15"/>
  <c r="AV32" i="15"/>
  <c r="AV33" i="15"/>
  <c r="AK33" i="15"/>
  <c r="AK34" i="15"/>
  <c r="AK44" i="20"/>
  <c r="AV44" i="20" s="1"/>
  <c r="AK35" i="20"/>
  <c r="AV36" i="20"/>
  <c r="AV35" i="20"/>
  <c r="AK36" i="20"/>
  <c r="AK60" i="1" l="1"/>
  <c r="AK50" i="1"/>
  <c r="AK48" i="1"/>
  <c r="AU49" i="19"/>
  <c r="AU48" i="19"/>
  <c r="AU47" i="19"/>
  <c r="AU46" i="19"/>
  <c r="AU45" i="19"/>
  <c r="AU44" i="19"/>
  <c r="AU43" i="19"/>
  <c r="AU42" i="19"/>
  <c r="AU41" i="19"/>
  <c r="AU39" i="19"/>
  <c r="AU36" i="19"/>
  <c r="AU35" i="19"/>
  <c r="AU34" i="19"/>
  <c r="AU33" i="19"/>
  <c r="AU30" i="19"/>
  <c r="AU29" i="19"/>
  <c r="AU51" i="19" s="1"/>
  <c r="AU28" i="19"/>
  <c r="AU27" i="19"/>
  <c r="AU23" i="19"/>
  <c r="AU21" i="19"/>
  <c r="AU19" i="19"/>
  <c r="AU18" i="19"/>
  <c r="AU17" i="19"/>
  <c r="AU16" i="19"/>
  <c r="AU15" i="19"/>
  <c r="AU14" i="19"/>
  <c r="AU11" i="19"/>
  <c r="AU9" i="19"/>
  <c r="AU8" i="19"/>
  <c r="AU7" i="19"/>
  <c r="AU6" i="19"/>
  <c r="AU5" i="19"/>
  <c r="AU4" i="19"/>
  <c r="AK51" i="19"/>
  <c r="AK42" i="19"/>
  <c r="AK33" i="19"/>
  <c r="AK27" i="19"/>
  <c r="AK14" i="19"/>
  <c r="AK4" i="19"/>
  <c r="AU15" i="18"/>
  <c r="AU75" i="18"/>
  <c r="AU73" i="18"/>
  <c r="AU71" i="18"/>
  <c r="AU69" i="18"/>
  <c r="AU66" i="18"/>
  <c r="AU65" i="18"/>
  <c r="AU58" i="18"/>
  <c r="AU57" i="18"/>
  <c r="AU56" i="18"/>
  <c r="AU53" i="18"/>
  <c r="AU46" i="18"/>
  <c r="AU45" i="18"/>
  <c r="AU43" i="18"/>
  <c r="AU42" i="18"/>
  <c r="AU32" i="18"/>
  <c r="AU31" i="18"/>
  <c r="AU30" i="18"/>
  <c r="AU29" i="18"/>
  <c r="AU27" i="18"/>
  <c r="AU26" i="18"/>
  <c r="AU24" i="18"/>
  <c r="AU23" i="18"/>
  <c r="AU22" i="18"/>
  <c r="AU20" i="18"/>
  <c r="AU16" i="18"/>
  <c r="AU14" i="18"/>
  <c r="AU13" i="18"/>
  <c r="AU10" i="18"/>
  <c r="AU9" i="18"/>
  <c r="AU8" i="18"/>
  <c r="AU7" i="18"/>
  <c r="AU6" i="18"/>
  <c r="AU3" i="18"/>
  <c r="AV40" i="17"/>
  <c r="AK56" i="17"/>
  <c r="AV56" i="17" s="1"/>
  <c r="AJ56" i="17"/>
  <c r="AI56" i="17"/>
  <c r="AH56" i="17"/>
  <c r="AH59" i="17" s="1"/>
  <c r="AH60" i="17"/>
  <c r="AH61" i="17"/>
  <c r="AV54" i="17"/>
  <c r="AV53" i="17"/>
  <c r="AV51" i="17"/>
  <c r="AV42" i="17"/>
  <c r="AV39" i="17"/>
  <c r="AV35" i="17"/>
  <c r="AV32" i="17"/>
  <c r="AV30" i="17"/>
  <c r="AV27" i="17"/>
  <c r="AV25" i="17"/>
  <c r="AV24" i="17"/>
  <c r="AV23" i="17"/>
  <c r="AV22" i="17"/>
  <c r="AV21" i="17"/>
  <c r="AV17" i="17"/>
  <c r="AV14" i="17"/>
  <c r="AV13" i="17"/>
  <c r="AV12" i="17"/>
  <c r="AV11" i="17"/>
  <c r="AV10" i="17"/>
  <c r="AV8" i="17"/>
  <c r="AV6" i="17"/>
  <c r="AV5" i="17"/>
  <c r="AV3" i="17"/>
  <c r="AK41" i="1" l="1"/>
  <c r="AV60" i="1"/>
  <c r="AK39" i="1"/>
  <c r="AK40" i="1"/>
  <c r="AK23" i="19"/>
  <c r="AK39" i="19"/>
  <c r="AK49" i="19" s="1"/>
  <c r="AV40" i="1" l="1"/>
  <c r="AV39" i="1"/>
  <c r="AV41" i="1"/>
  <c r="AV59" i="17" l="1"/>
  <c r="AV60" i="17"/>
  <c r="AV61" i="17"/>
  <c r="AK61" i="17"/>
  <c r="AK60" i="17"/>
  <c r="AK59" i="17"/>
  <c r="AJ13" i="12" l="1"/>
  <c r="AJ8" i="12"/>
  <c r="AI8" i="12"/>
  <c r="AJ18" i="12"/>
  <c r="AJ17" i="12"/>
  <c r="AJ16" i="12"/>
  <c r="AJ12" i="12"/>
  <c r="AJ10" i="12"/>
  <c r="AJ9" i="12"/>
  <c r="AJ7" i="12"/>
  <c r="AJ6" i="12"/>
  <c r="AJ5" i="12"/>
  <c r="P45" i="23"/>
  <c r="O45" i="23"/>
  <c r="N45" i="23"/>
  <c r="M45" i="23"/>
  <c r="AA45" i="23" s="1"/>
  <c r="L45" i="23"/>
  <c r="K45" i="23"/>
  <c r="J45" i="23"/>
  <c r="I45" i="23"/>
  <c r="Z45" i="23" s="1"/>
  <c r="E45" i="23"/>
  <c r="F45" i="23"/>
  <c r="G45" i="23"/>
  <c r="H45" i="23"/>
  <c r="P55" i="23"/>
  <c r="P49" i="23"/>
  <c r="P38" i="23"/>
  <c r="P37" i="23"/>
  <c r="P36" i="23"/>
  <c r="AJ41" i="15"/>
  <c r="AI41" i="15"/>
  <c r="AH41" i="15"/>
  <c r="AG41" i="15"/>
  <c r="AJ51" i="15"/>
  <c r="AJ33" i="15" s="1"/>
  <c r="AJ43" i="15"/>
  <c r="AJ32" i="15"/>
  <c r="AJ54" i="20"/>
  <c r="AJ45" i="20"/>
  <c r="AJ50" i="1"/>
  <c r="AJ48" i="1"/>
  <c r="AJ60" i="1"/>
  <c r="AJ40" i="1" s="1"/>
  <c r="AJ39" i="1"/>
  <c r="AJ51" i="19"/>
  <c r="AJ42" i="19"/>
  <c r="AJ33" i="19"/>
  <c r="AJ27" i="19"/>
  <c r="AJ39" i="19"/>
  <c r="AJ49" i="19"/>
  <c r="AJ14" i="19"/>
  <c r="AJ4" i="19"/>
  <c r="AJ23" i="19"/>
  <c r="AJ61" i="17"/>
  <c r="AJ60" i="17"/>
  <c r="AJ59" i="17"/>
  <c r="AA33" i="23"/>
  <c r="Z33" i="23"/>
  <c r="Y33" i="23"/>
  <c r="AA31" i="23"/>
  <c r="Z31" i="23"/>
  <c r="Y31" i="23"/>
  <c r="AA29" i="23"/>
  <c r="Z29" i="23"/>
  <c r="Y29" i="23"/>
  <c r="AA27" i="23"/>
  <c r="Z27" i="23"/>
  <c r="Y27" i="23"/>
  <c r="E51" i="15"/>
  <c r="E34" i="15" s="1"/>
  <c r="E33" i="15"/>
  <c r="AG60" i="1"/>
  <c r="AU60" i="1" s="1"/>
  <c r="AU41" i="1" s="1"/>
  <c r="AU36" i="1"/>
  <c r="AU34" i="1"/>
  <c r="AU32" i="1"/>
  <c r="AC60" i="1"/>
  <c r="AT60" i="1" s="1"/>
  <c r="AT41" i="1" s="1"/>
  <c r="AT36" i="1"/>
  <c r="AT34" i="1"/>
  <c r="AT32" i="1"/>
  <c r="Y60" i="1"/>
  <c r="AS60" i="1" s="1"/>
  <c r="AS41" i="1" s="1"/>
  <c r="AS36" i="1"/>
  <c r="AS34" i="1"/>
  <c r="AS32" i="1"/>
  <c r="U60" i="1"/>
  <c r="AR60" i="1" s="1"/>
  <c r="AR40" i="1" s="1"/>
  <c r="AR36" i="1"/>
  <c r="AR34" i="1"/>
  <c r="AR32" i="1"/>
  <c r="Q60" i="1"/>
  <c r="AQ60" i="1" s="1"/>
  <c r="AQ36" i="1"/>
  <c r="AQ34" i="1"/>
  <c r="AQ32" i="1"/>
  <c r="M60" i="1"/>
  <c r="M41" i="1" s="1"/>
  <c r="AP36" i="1"/>
  <c r="AP34" i="1"/>
  <c r="AP32" i="1"/>
  <c r="I60" i="1"/>
  <c r="AO60" i="1" s="1"/>
  <c r="AO40" i="1" s="1"/>
  <c r="AO36" i="1"/>
  <c r="AO34" i="1"/>
  <c r="AO32" i="1"/>
  <c r="E60" i="1"/>
  <c r="AN60" i="1" s="1"/>
  <c r="AN41" i="1" s="1"/>
  <c r="AN36" i="1"/>
  <c r="AN34" i="1"/>
  <c r="AN32" i="1"/>
  <c r="AM60" i="1"/>
  <c r="AM40" i="1" s="1"/>
  <c r="AI60" i="1"/>
  <c r="AI40" i="1" s="1"/>
  <c r="AH60" i="1"/>
  <c r="AH40" i="1" s="1"/>
  <c r="AG41" i="1"/>
  <c r="AG40" i="1"/>
  <c r="AG39" i="1"/>
  <c r="AF60" i="1"/>
  <c r="AF39" i="1" s="1"/>
  <c r="AE60" i="1"/>
  <c r="AE39" i="1" s="1"/>
  <c r="AE41" i="1"/>
  <c r="AD60" i="1"/>
  <c r="AD39" i="1" s="1"/>
  <c r="AC41" i="1"/>
  <c r="AC40" i="1"/>
  <c r="AC39" i="1"/>
  <c r="AB60" i="1"/>
  <c r="AB41" i="1" s="1"/>
  <c r="AA60" i="1"/>
  <c r="AA41" i="1" s="1"/>
  <c r="AA40" i="1"/>
  <c r="Z60" i="1"/>
  <c r="Z41" i="1" s="1"/>
  <c r="Y41" i="1"/>
  <c r="Y40" i="1"/>
  <c r="Y39" i="1"/>
  <c r="U39" i="1"/>
  <c r="Q41" i="1"/>
  <c r="Q39" i="1"/>
  <c r="M40" i="1"/>
  <c r="I41" i="1"/>
  <c r="I39" i="1"/>
  <c r="AA34" i="23"/>
  <c r="Z34" i="23"/>
  <c r="AA32" i="23"/>
  <c r="Z32" i="23"/>
  <c r="AA54" i="23"/>
  <c r="Z54" i="23"/>
  <c r="Z55" i="23" s="1"/>
  <c r="Y54" i="23"/>
  <c r="F55" i="23"/>
  <c r="F38" i="23" s="1"/>
  <c r="G55" i="23"/>
  <c r="H55" i="23"/>
  <c r="H36" i="23" s="1"/>
  <c r="I55" i="23"/>
  <c r="J55" i="23"/>
  <c r="J36" i="23" s="1"/>
  <c r="K55" i="23"/>
  <c r="K36" i="23" s="1"/>
  <c r="L55" i="23"/>
  <c r="L37" i="23" s="1"/>
  <c r="M55" i="23"/>
  <c r="N55" i="23"/>
  <c r="N36" i="23" s="1"/>
  <c r="O55" i="23"/>
  <c r="O36" i="23" s="1"/>
  <c r="S55" i="23"/>
  <c r="S37" i="23" s="1"/>
  <c r="T55" i="23"/>
  <c r="U55" i="23"/>
  <c r="V55" i="23"/>
  <c r="W55" i="23"/>
  <c r="W38" i="23" s="1"/>
  <c r="X55" i="23"/>
  <c r="Y55" i="23"/>
  <c r="Y37" i="23" s="1"/>
  <c r="AA55" i="23"/>
  <c r="AA38" i="23" s="1"/>
  <c r="E55" i="23"/>
  <c r="E36" i="23" s="1"/>
  <c r="Y36" i="23"/>
  <c r="M36" i="23"/>
  <c r="K37" i="23"/>
  <c r="M37" i="23"/>
  <c r="N37" i="23"/>
  <c r="O37" i="23"/>
  <c r="M38" i="23"/>
  <c r="G36" i="23"/>
  <c r="F37" i="23"/>
  <c r="G37" i="23"/>
  <c r="E38" i="23"/>
  <c r="G38" i="23"/>
  <c r="I38" i="23"/>
  <c r="I37" i="23"/>
  <c r="I36" i="23"/>
  <c r="AM51" i="15"/>
  <c r="AM32" i="15" s="1"/>
  <c r="AN50" i="15"/>
  <c r="AN51" i="15" s="1"/>
  <c r="AM33" i="15"/>
  <c r="AN30" i="15"/>
  <c r="AN28" i="15"/>
  <c r="AO28" i="15"/>
  <c r="AP28" i="15"/>
  <c r="AO30" i="15"/>
  <c r="AP30" i="15"/>
  <c r="AQ30" i="15"/>
  <c r="AU29" i="15"/>
  <c r="AT29" i="15"/>
  <c r="AS29" i="15"/>
  <c r="AR29" i="15"/>
  <c r="AQ29" i="15"/>
  <c r="AP29" i="15"/>
  <c r="AO29" i="15"/>
  <c r="AN29" i="15"/>
  <c r="AU27" i="15"/>
  <c r="AT27" i="15"/>
  <c r="AS27" i="15"/>
  <c r="AR27" i="15"/>
  <c r="AQ27" i="15"/>
  <c r="AP27" i="15"/>
  <c r="AO27" i="15"/>
  <c r="AN27" i="15"/>
  <c r="AU25" i="15"/>
  <c r="AT25" i="15"/>
  <c r="AS25" i="15"/>
  <c r="AR25" i="15"/>
  <c r="AQ25" i="15"/>
  <c r="AP25" i="15"/>
  <c r="AO25" i="15"/>
  <c r="AN25" i="15"/>
  <c r="AU23" i="15"/>
  <c r="AT23" i="15"/>
  <c r="AS23" i="15"/>
  <c r="AR23" i="15"/>
  <c r="AQ23" i="15"/>
  <c r="AP23" i="15"/>
  <c r="AO23" i="15"/>
  <c r="AN23" i="15"/>
  <c r="AU50" i="15"/>
  <c r="AT50" i="15"/>
  <c r="AT51" i="15" s="1"/>
  <c r="AS50" i="15"/>
  <c r="AR50" i="15"/>
  <c r="AR51" i="15" s="1"/>
  <c r="AQ50" i="15"/>
  <c r="AP50" i="15"/>
  <c r="AP51" i="15" s="1"/>
  <c r="AO50" i="15"/>
  <c r="AU51" i="15"/>
  <c r="AU34" i="15" s="1"/>
  <c r="AS51" i="15"/>
  <c r="AS34" i="15" s="1"/>
  <c r="AQ51" i="15"/>
  <c r="AO51" i="15"/>
  <c r="AO34" i="15" s="1"/>
  <c r="AI51" i="15"/>
  <c r="AH51" i="15"/>
  <c r="AG51" i="15"/>
  <c r="AF51" i="15"/>
  <c r="AF34" i="15" s="1"/>
  <c r="AE51" i="15"/>
  <c r="AD51" i="15"/>
  <c r="AC51" i="15"/>
  <c r="AB51" i="15"/>
  <c r="AB34" i="15" s="1"/>
  <c r="AA51" i="15"/>
  <c r="Z51" i="15"/>
  <c r="Y51" i="15"/>
  <c r="X51" i="15"/>
  <c r="W51" i="15"/>
  <c r="V51" i="15"/>
  <c r="U51" i="15"/>
  <c r="T51" i="15"/>
  <c r="S51" i="15"/>
  <c r="R51" i="15"/>
  <c r="Q51" i="15"/>
  <c r="P51" i="15"/>
  <c r="O51" i="15"/>
  <c r="N51" i="15"/>
  <c r="M51" i="15"/>
  <c r="I51" i="15"/>
  <c r="I34" i="15" s="1"/>
  <c r="AQ34" i="15"/>
  <c r="AI34" i="15"/>
  <c r="AH34" i="15"/>
  <c r="AG34" i="15"/>
  <c r="AE34" i="15"/>
  <c r="AD34" i="15"/>
  <c r="AC34" i="15"/>
  <c r="AA34" i="15"/>
  <c r="Z34" i="15"/>
  <c r="Y34" i="15"/>
  <c r="U34" i="15"/>
  <c r="Q34" i="15"/>
  <c r="M34" i="15"/>
  <c r="AU33" i="15"/>
  <c r="AQ33" i="15"/>
  <c r="AI33" i="15"/>
  <c r="AH33" i="15"/>
  <c r="AG33" i="15"/>
  <c r="AE33" i="15"/>
  <c r="AD33" i="15"/>
  <c r="AC33" i="15"/>
  <c r="AA33" i="15"/>
  <c r="Z33" i="15"/>
  <c r="Y33" i="15"/>
  <c r="U33" i="15"/>
  <c r="Q33" i="15"/>
  <c r="M33" i="15"/>
  <c r="AU32" i="15"/>
  <c r="AQ32" i="15"/>
  <c r="AI32" i="15"/>
  <c r="AH32" i="15"/>
  <c r="AG32" i="15"/>
  <c r="AE32" i="15"/>
  <c r="AD32" i="15"/>
  <c r="AC32" i="15"/>
  <c r="AA32" i="15"/>
  <c r="Z32" i="15"/>
  <c r="Y32" i="15"/>
  <c r="U32" i="15"/>
  <c r="Q32" i="15"/>
  <c r="M32" i="15"/>
  <c r="AU30" i="15"/>
  <c r="AT30" i="15"/>
  <c r="AS30" i="15"/>
  <c r="AR30" i="15"/>
  <c r="AU28" i="15"/>
  <c r="AT28" i="15"/>
  <c r="AS28" i="15"/>
  <c r="AR28" i="15"/>
  <c r="AQ28" i="15"/>
  <c r="AU37" i="1"/>
  <c r="AT37" i="1"/>
  <c r="AS37" i="1"/>
  <c r="AR37" i="1"/>
  <c r="AQ37" i="1"/>
  <c r="AP37" i="1"/>
  <c r="AO37" i="1"/>
  <c r="AN37" i="1"/>
  <c r="AU35" i="1"/>
  <c r="AT35" i="1"/>
  <c r="AS35" i="1"/>
  <c r="AR35" i="1"/>
  <c r="AQ35" i="1"/>
  <c r="AP35" i="1"/>
  <c r="AO35" i="1"/>
  <c r="AN35" i="1"/>
  <c r="AQ32" i="20"/>
  <c r="AP32" i="20"/>
  <c r="AQ33" i="20"/>
  <c r="AR32" i="20"/>
  <c r="AR33" i="20"/>
  <c r="AS32" i="20"/>
  <c r="AS33" i="20"/>
  <c r="AT32" i="20"/>
  <c r="AT33" i="20"/>
  <c r="AU32" i="20"/>
  <c r="AU33" i="20"/>
  <c r="AU30" i="20"/>
  <c r="AT30" i="20"/>
  <c r="AU31" i="20"/>
  <c r="AS30" i="20"/>
  <c r="AT31" i="20"/>
  <c r="AR30" i="20"/>
  <c r="AS31" i="20"/>
  <c r="AQ30" i="20"/>
  <c r="AR31" i="20"/>
  <c r="AP30" i="20"/>
  <c r="AQ31" i="20"/>
  <c r="AQ28" i="20"/>
  <c r="AP28" i="20"/>
  <c r="AQ29" i="20"/>
  <c r="AU24" i="20"/>
  <c r="AT24" i="20"/>
  <c r="AS24" i="20"/>
  <c r="AR24" i="20"/>
  <c r="AQ24" i="20"/>
  <c r="AP24" i="20"/>
  <c r="AO24" i="20"/>
  <c r="AU26" i="20"/>
  <c r="AT26" i="20"/>
  <c r="AS26" i="20"/>
  <c r="AR26" i="20"/>
  <c r="AQ26" i="20"/>
  <c r="AP26" i="20"/>
  <c r="AO26" i="20"/>
  <c r="AU28" i="20"/>
  <c r="AT28" i="20"/>
  <c r="AS28" i="20"/>
  <c r="AR28" i="20"/>
  <c r="AO28" i="20"/>
  <c r="AO30" i="20"/>
  <c r="AU54" i="20"/>
  <c r="AU37" i="20" s="1"/>
  <c r="AT54" i="20"/>
  <c r="AT37" i="20" s="1"/>
  <c r="AS54" i="20"/>
  <c r="AS37" i="20" s="1"/>
  <c r="AR54" i="20"/>
  <c r="AR37" i="20" s="1"/>
  <c r="AQ54" i="20"/>
  <c r="AQ37" i="20" s="1"/>
  <c r="AP54" i="20"/>
  <c r="AP37" i="20" s="1"/>
  <c r="AO54" i="20"/>
  <c r="AO36" i="20" s="1"/>
  <c r="AO32" i="20"/>
  <c r="AT36" i="20"/>
  <c r="AP36" i="20"/>
  <c r="AT35" i="20"/>
  <c r="AS35" i="20"/>
  <c r="AP35" i="20"/>
  <c r="AO35" i="20"/>
  <c r="AU30" i="1"/>
  <c r="AT30" i="1"/>
  <c r="AS30" i="1"/>
  <c r="AR30" i="1"/>
  <c r="AQ30" i="1"/>
  <c r="AP30" i="1"/>
  <c r="AO30" i="1"/>
  <c r="AN30" i="1"/>
  <c r="AU28" i="1"/>
  <c r="AT28" i="1"/>
  <c r="AS28" i="1"/>
  <c r="AR28" i="1"/>
  <c r="AQ28" i="1"/>
  <c r="AP28" i="1"/>
  <c r="AO28" i="1"/>
  <c r="AN28" i="1"/>
  <c r="AU59" i="1"/>
  <c r="AT59" i="1"/>
  <c r="AS59" i="1"/>
  <c r="AR59" i="1"/>
  <c r="AQ59" i="1"/>
  <c r="AP59" i="1"/>
  <c r="AO59" i="1"/>
  <c r="AN59" i="1"/>
  <c r="I54" i="20"/>
  <c r="I36" i="20" s="1"/>
  <c r="M54" i="20"/>
  <c r="M36" i="20" s="1"/>
  <c r="N54" i="20"/>
  <c r="O54" i="20"/>
  <c r="P54" i="20"/>
  <c r="AI54" i="20"/>
  <c r="AI36" i="20" s="1"/>
  <c r="AH54" i="20"/>
  <c r="AH36" i="20" s="1"/>
  <c r="AH37" i="20"/>
  <c r="AG54" i="20"/>
  <c r="AG36" i="20" s="1"/>
  <c r="AG37" i="20"/>
  <c r="AF54" i="20"/>
  <c r="AF36" i="20" s="1"/>
  <c r="AF37" i="20"/>
  <c r="AF35" i="20"/>
  <c r="AE54" i="20"/>
  <c r="AE36" i="20" s="1"/>
  <c r="AD54" i="20"/>
  <c r="AD36" i="20" s="1"/>
  <c r="AC54" i="20"/>
  <c r="AC36" i="20" s="1"/>
  <c r="AB54" i="20"/>
  <c r="AB36" i="20" s="1"/>
  <c r="AA54" i="20"/>
  <c r="AA36" i="20" s="1"/>
  <c r="Z54" i="20"/>
  <c r="Z36" i="20" s="1"/>
  <c r="Z37" i="20"/>
  <c r="Y54" i="20"/>
  <c r="Y36" i="20" s="1"/>
  <c r="Y35" i="20"/>
  <c r="U54" i="20"/>
  <c r="U36" i="20" s="1"/>
  <c r="Q54" i="20"/>
  <c r="Q36" i="20" s="1"/>
  <c r="R54" i="20"/>
  <c r="S54" i="20"/>
  <c r="T54" i="20"/>
  <c r="V54" i="20"/>
  <c r="W54" i="20"/>
  <c r="X54" i="20"/>
  <c r="F60" i="1"/>
  <c r="G60" i="1"/>
  <c r="H60" i="1"/>
  <c r="J60" i="1"/>
  <c r="K60" i="1"/>
  <c r="L60" i="1"/>
  <c r="N60" i="1"/>
  <c r="O60" i="1"/>
  <c r="P60" i="1"/>
  <c r="R60" i="1"/>
  <c r="S60" i="1"/>
  <c r="T60" i="1"/>
  <c r="V60" i="1"/>
  <c r="W60" i="1"/>
  <c r="X60" i="1"/>
  <c r="E41" i="1"/>
  <c r="E40" i="1"/>
  <c r="E39" i="1"/>
  <c r="AG19" i="12"/>
  <c r="AI13" i="12"/>
  <c r="AI18" i="12"/>
  <c r="AI17" i="12"/>
  <c r="AI16" i="12"/>
  <c r="AI12" i="12"/>
  <c r="AI10" i="12"/>
  <c r="AI9" i="12"/>
  <c r="AI7" i="12"/>
  <c r="AI6" i="12"/>
  <c r="AI5" i="12"/>
  <c r="O49" i="23"/>
  <c r="AI43" i="15"/>
  <c r="AI45" i="20"/>
  <c r="AI44" i="20"/>
  <c r="AI50" i="1"/>
  <c r="AI48" i="1"/>
  <c r="AI51" i="19"/>
  <c r="AI42" i="19"/>
  <c r="AI33" i="19"/>
  <c r="AI27" i="19"/>
  <c r="AI39" i="19"/>
  <c r="AI49" i="19"/>
  <c r="AI14" i="19"/>
  <c r="AI4" i="19"/>
  <c r="AI23" i="19"/>
  <c r="AI61" i="17"/>
  <c r="AI60" i="17"/>
  <c r="AI59" i="17"/>
  <c r="AH13" i="12"/>
  <c r="AH16" i="12"/>
  <c r="AH17" i="12"/>
  <c r="AH18" i="12"/>
  <c r="AH5" i="12"/>
  <c r="AH6" i="12"/>
  <c r="AH7" i="12"/>
  <c r="AH8" i="12"/>
  <c r="AH9" i="12"/>
  <c r="AH10" i="12"/>
  <c r="AH12" i="12"/>
  <c r="N49" i="23"/>
  <c r="AH43" i="15"/>
  <c r="AH45" i="20"/>
  <c r="AH44" i="20"/>
  <c r="AH50" i="1"/>
  <c r="AH48" i="1"/>
  <c r="AH42" i="19"/>
  <c r="AH33" i="19"/>
  <c r="AH27" i="19"/>
  <c r="AH23" i="19"/>
  <c r="AH14" i="19"/>
  <c r="AH4" i="19"/>
  <c r="AH51" i="19"/>
  <c r="AH39" i="19"/>
  <c r="AH49" i="19"/>
  <c r="Y19" i="12"/>
  <c r="AS19" i="12"/>
  <c r="AU4" i="12"/>
  <c r="AU19" i="12"/>
  <c r="AG18" i="12"/>
  <c r="AU18" i="12" s="1"/>
  <c r="AG6" i="12"/>
  <c r="AU6" i="12"/>
  <c r="AG7" i="12"/>
  <c r="AU7" i="12" s="1"/>
  <c r="AG8" i="12"/>
  <c r="AU8" i="12" s="1"/>
  <c r="AG9" i="12"/>
  <c r="AU9" i="12" s="1"/>
  <c r="AE8" i="12"/>
  <c r="AF8" i="12"/>
  <c r="AA41" i="23"/>
  <c r="Z41" i="23"/>
  <c r="Z42" i="23"/>
  <c r="Y41" i="23"/>
  <c r="AA25" i="23"/>
  <c r="AA26" i="23"/>
  <c r="Z25" i="23"/>
  <c r="Y25" i="23"/>
  <c r="AA21" i="23"/>
  <c r="Z21" i="23"/>
  <c r="Y21" i="23"/>
  <c r="AA19" i="23"/>
  <c r="Z19" i="23"/>
  <c r="Y19" i="23"/>
  <c r="AA17" i="23"/>
  <c r="Z17" i="23"/>
  <c r="Y17" i="23"/>
  <c r="AA15" i="23"/>
  <c r="Z15" i="23"/>
  <c r="Y15" i="23"/>
  <c r="Z16" i="23"/>
  <c r="AA10" i="23"/>
  <c r="Z10" i="23"/>
  <c r="Y10" i="23"/>
  <c r="AA8" i="23"/>
  <c r="Z8" i="23"/>
  <c r="Y8" i="23"/>
  <c r="AA6" i="23"/>
  <c r="Z6" i="23"/>
  <c r="Y6" i="23"/>
  <c r="AA4" i="23"/>
  <c r="Z4" i="23"/>
  <c r="AU13" i="16"/>
  <c r="AU8" i="16"/>
  <c r="AU6" i="16"/>
  <c r="AU7" i="16"/>
  <c r="AU4" i="16"/>
  <c r="M47" i="23"/>
  <c r="AA47" i="23"/>
  <c r="M46" i="23"/>
  <c r="AA46" i="23"/>
  <c r="M49" i="23"/>
  <c r="AA49" i="23"/>
  <c r="AU45" i="15"/>
  <c r="AU42" i="15"/>
  <c r="AU37" i="15"/>
  <c r="AU21" i="15"/>
  <c r="AU17" i="15"/>
  <c r="AU15" i="15"/>
  <c r="AU13" i="15"/>
  <c r="AU9" i="15"/>
  <c r="AU10" i="15"/>
  <c r="AU7" i="15"/>
  <c r="AU5" i="15"/>
  <c r="AG43" i="15"/>
  <c r="AU43" i="15"/>
  <c r="AU41" i="15"/>
  <c r="AP15" i="20"/>
  <c r="AP17" i="20"/>
  <c r="AP19" i="20"/>
  <c r="AP21" i="20"/>
  <c r="AP11" i="20"/>
  <c r="AP5" i="20"/>
  <c r="AP7" i="20"/>
  <c r="AP9" i="20"/>
  <c r="AG44" i="20"/>
  <c r="AU44" i="20"/>
  <c r="AG45" i="20"/>
  <c r="AU45" i="20"/>
  <c r="AU40" i="20"/>
  <c r="AT40" i="20"/>
  <c r="AU41" i="20"/>
  <c r="AU20" i="20"/>
  <c r="AU18" i="20"/>
  <c r="AT18" i="20"/>
  <c r="AU19" i="20"/>
  <c r="AU16" i="20"/>
  <c r="AU14" i="20"/>
  <c r="AU10" i="20"/>
  <c r="AT10" i="20"/>
  <c r="AU11" i="20"/>
  <c r="AU8" i="20"/>
  <c r="AU6" i="20"/>
  <c r="AU4" i="20"/>
  <c r="AT4" i="20"/>
  <c r="AU5" i="20"/>
  <c r="AG50" i="1"/>
  <c r="AU50" i="1"/>
  <c r="AG48" i="1"/>
  <c r="AU48" i="1"/>
  <c r="AU49" i="1"/>
  <c r="AU44" i="1"/>
  <c r="AU24" i="1"/>
  <c r="AU22" i="1"/>
  <c r="AU20" i="1"/>
  <c r="AU18" i="1"/>
  <c r="AU16" i="1"/>
  <c r="AU12" i="1"/>
  <c r="AU10" i="1"/>
  <c r="AU11" i="1"/>
  <c r="AU8" i="1"/>
  <c r="AU6" i="1"/>
  <c r="AU4" i="1"/>
  <c r="AT5" i="19"/>
  <c r="AT6" i="19"/>
  <c r="AT7" i="19"/>
  <c r="AT8" i="19"/>
  <c r="AT9" i="19"/>
  <c r="AT11" i="19"/>
  <c r="AT15" i="19"/>
  <c r="AT16" i="19"/>
  <c r="AT17" i="19"/>
  <c r="AT18" i="19"/>
  <c r="AT19" i="19"/>
  <c r="AT21" i="19"/>
  <c r="AT28" i="19"/>
  <c r="AT29" i="19"/>
  <c r="AT30" i="19"/>
  <c r="AT34" i="19"/>
  <c r="AT51" i="19"/>
  <c r="AT35" i="19"/>
  <c r="AT36" i="19"/>
  <c r="AT41" i="19"/>
  <c r="AT43" i="19"/>
  <c r="AT44" i="19"/>
  <c r="AT45" i="19"/>
  <c r="AT46" i="19"/>
  <c r="AT47" i="19"/>
  <c r="AT48" i="19"/>
  <c r="AG42" i="19"/>
  <c r="AG12" i="12"/>
  <c r="AU12" i="12" s="1"/>
  <c r="AG33" i="19"/>
  <c r="AT33" i="19"/>
  <c r="AG27" i="19"/>
  <c r="AG39" i="19"/>
  <c r="AG49" i="19"/>
  <c r="AT49" i="19"/>
  <c r="AG14" i="19"/>
  <c r="AT14" i="19"/>
  <c r="AG4" i="19"/>
  <c r="AG51" i="19"/>
  <c r="AT75" i="18"/>
  <c r="AT73" i="18"/>
  <c r="AT71" i="18"/>
  <c r="AT69" i="18"/>
  <c r="AT66" i="18"/>
  <c r="AT65" i="18"/>
  <c r="AT58" i="18"/>
  <c r="AT57" i="18"/>
  <c r="AT56" i="18"/>
  <c r="AT53" i="18"/>
  <c r="AT49" i="18"/>
  <c r="AT46" i="18"/>
  <c r="AT45" i="18"/>
  <c r="AT43" i="18"/>
  <c r="AT42" i="18"/>
  <c r="AT36" i="18"/>
  <c r="AT32" i="18"/>
  <c r="AT31" i="18"/>
  <c r="AT30" i="18"/>
  <c r="AT29" i="18"/>
  <c r="AT27" i="18"/>
  <c r="AT26" i="18"/>
  <c r="AT24" i="18"/>
  <c r="AT23" i="18"/>
  <c r="AT22" i="18"/>
  <c r="AT20" i="18"/>
  <c r="AT16" i="18"/>
  <c r="AT14" i="18"/>
  <c r="AT13" i="18"/>
  <c r="AT10" i="18"/>
  <c r="AT9" i="18"/>
  <c r="AT8" i="18"/>
  <c r="AT7" i="18"/>
  <c r="AT6" i="18"/>
  <c r="AT3" i="18"/>
  <c r="AU54" i="17"/>
  <c r="AU61" i="17"/>
  <c r="AU53" i="17"/>
  <c r="AU51" i="17"/>
  <c r="AU42" i="17"/>
  <c r="AU39" i="17"/>
  <c r="AU35" i="17"/>
  <c r="AU32" i="17"/>
  <c r="AU30" i="17"/>
  <c r="AU27" i="17"/>
  <c r="AU25" i="17"/>
  <c r="AU24" i="17"/>
  <c r="AU23" i="17"/>
  <c r="AU22" i="17"/>
  <c r="AU21" i="17"/>
  <c r="AU17" i="17"/>
  <c r="AU60" i="17"/>
  <c r="AU13" i="17"/>
  <c r="AU12" i="17"/>
  <c r="AU11" i="17"/>
  <c r="AU10" i="17"/>
  <c r="AU8" i="17"/>
  <c r="AU6" i="17"/>
  <c r="AU5" i="17"/>
  <c r="AU3" i="17"/>
  <c r="AG60" i="17"/>
  <c r="AG61" i="17"/>
  <c r="AG17" i="12"/>
  <c r="AU17" i="12" s="1"/>
  <c r="AG56" i="17"/>
  <c r="AF60" i="17"/>
  <c r="AF61" i="17"/>
  <c r="AF17" i="12"/>
  <c r="L49" i="23"/>
  <c r="AF43" i="15"/>
  <c r="AF41" i="15"/>
  <c r="AE41" i="15"/>
  <c r="AF45" i="20"/>
  <c r="AF44" i="20"/>
  <c r="AF48" i="1"/>
  <c r="AF50" i="1"/>
  <c r="AF10" i="12"/>
  <c r="AF9" i="12"/>
  <c r="AF7" i="12"/>
  <c r="AF6" i="12"/>
  <c r="AF5" i="12"/>
  <c r="AF69" i="18"/>
  <c r="AF75" i="18"/>
  <c r="AF66" i="18"/>
  <c r="AF53" i="18"/>
  <c r="AF29" i="18"/>
  <c r="AF18" i="12"/>
  <c r="AF59" i="17"/>
  <c r="AF51" i="19"/>
  <c r="AF42" i="19"/>
  <c r="AF12" i="12"/>
  <c r="AF33" i="19"/>
  <c r="AF27" i="19"/>
  <c r="AF14" i="19"/>
  <c r="AF23" i="19"/>
  <c r="AF16" i="12"/>
  <c r="AF4" i="19"/>
  <c r="AE5" i="15"/>
  <c r="AE10" i="12"/>
  <c r="K49" i="23"/>
  <c r="AE43" i="15"/>
  <c r="AE45" i="20"/>
  <c r="AE44" i="20"/>
  <c r="AE50" i="1"/>
  <c r="AE48" i="1"/>
  <c r="AE9" i="12"/>
  <c r="AE7" i="12"/>
  <c r="AE6" i="12"/>
  <c r="AE5" i="12"/>
  <c r="AA53" i="18"/>
  <c r="AE66" i="18"/>
  <c r="AD53" i="18"/>
  <c r="AE53" i="18"/>
  <c r="AD29" i="18"/>
  <c r="AD18" i="12"/>
  <c r="AE29" i="18"/>
  <c r="AE18" i="12"/>
  <c r="AE51" i="19"/>
  <c r="AE42" i="19"/>
  <c r="AE12" i="12"/>
  <c r="AE33" i="19"/>
  <c r="AE27" i="19"/>
  <c r="AE14" i="19"/>
  <c r="AE4" i="19"/>
  <c r="AE61" i="17"/>
  <c r="AE17" i="12"/>
  <c r="AE59" i="17"/>
  <c r="AE60" i="17"/>
  <c r="J49" i="23"/>
  <c r="AD43" i="15"/>
  <c r="AD41" i="15"/>
  <c r="AD5" i="15"/>
  <c r="AD45" i="20"/>
  <c r="AD44" i="20"/>
  <c r="AD50" i="1"/>
  <c r="AD48" i="1"/>
  <c r="AD10" i="12"/>
  <c r="AD16" i="12"/>
  <c r="AD12" i="12"/>
  <c r="AD9" i="12"/>
  <c r="AD7" i="12"/>
  <c r="AD6" i="12"/>
  <c r="AD5" i="12"/>
  <c r="AD51" i="19"/>
  <c r="AD61" i="17"/>
  <c r="AD17" i="12"/>
  <c r="Z61" i="17"/>
  <c r="Z17" i="12"/>
  <c r="AD59" i="17"/>
  <c r="AD60" i="17"/>
  <c r="AT6" i="16"/>
  <c r="AT7" i="16"/>
  <c r="AT8" i="16"/>
  <c r="AU9" i="16"/>
  <c r="AT13" i="16"/>
  <c r="AU14" i="16"/>
  <c r="AT4" i="16"/>
  <c r="AU5" i="16"/>
  <c r="I49" i="23"/>
  <c r="Z49" i="23"/>
  <c r="I47" i="23"/>
  <c r="Z47" i="23"/>
  <c r="I46" i="23"/>
  <c r="Z46" i="23"/>
  <c r="AT7" i="15"/>
  <c r="AT9" i="15"/>
  <c r="AT13" i="15"/>
  <c r="AU14" i="15"/>
  <c r="AT15" i="15"/>
  <c r="AT17" i="15"/>
  <c r="AT21" i="15"/>
  <c r="AT37" i="15"/>
  <c r="AU38" i="15"/>
  <c r="AT42" i="15"/>
  <c r="AT45" i="15"/>
  <c r="AT5" i="15"/>
  <c r="AC43" i="15"/>
  <c r="AT43" i="15"/>
  <c r="AC41" i="15"/>
  <c r="AT41" i="15"/>
  <c r="AB41" i="15"/>
  <c r="AA4" i="19"/>
  <c r="AP4" i="19"/>
  <c r="AQ4" i="19"/>
  <c r="AR4" i="19"/>
  <c r="AS4" i="19"/>
  <c r="AP5" i="19"/>
  <c r="AQ5" i="19"/>
  <c r="AR5" i="19"/>
  <c r="AS5" i="19"/>
  <c r="AP6" i="19"/>
  <c r="AQ6" i="19"/>
  <c r="AR6" i="19"/>
  <c r="AS6" i="19"/>
  <c r="AP7" i="19"/>
  <c r="AQ7" i="19"/>
  <c r="AR7" i="19"/>
  <c r="AS7" i="19"/>
  <c r="AP8" i="19"/>
  <c r="AQ8" i="19"/>
  <c r="AR8" i="19"/>
  <c r="AS8" i="19"/>
  <c r="AP9" i="19"/>
  <c r="AQ9" i="19"/>
  <c r="AR9" i="19"/>
  <c r="AS9" i="19"/>
  <c r="AP11" i="19"/>
  <c r="AQ11" i="19"/>
  <c r="AR11" i="19"/>
  <c r="AS11" i="19"/>
  <c r="AA14" i="19"/>
  <c r="AP14" i="19"/>
  <c r="AQ14" i="19"/>
  <c r="AR14" i="19"/>
  <c r="AS14" i="19"/>
  <c r="AP15" i="19"/>
  <c r="AQ15" i="19"/>
  <c r="AR15" i="19"/>
  <c r="AS15" i="19"/>
  <c r="AP16" i="19"/>
  <c r="AQ16" i="19"/>
  <c r="AR16" i="19"/>
  <c r="AS16" i="19"/>
  <c r="AP17" i="19"/>
  <c r="AQ17" i="19"/>
  <c r="AR17" i="19"/>
  <c r="AS17" i="19"/>
  <c r="AP18" i="19"/>
  <c r="AQ18" i="19"/>
  <c r="AR18" i="19"/>
  <c r="AS18" i="19"/>
  <c r="AP19" i="19"/>
  <c r="AQ19" i="19"/>
  <c r="AR19" i="19"/>
  <c r="AS19" i="19"/>
  <c r="AP21" i="19"/>
  <c r="AQ21" i="19"/>
  <c r="AR21" i="19"/>
  <c r="AS21" i="19"/>
  <c r="AP23" i="19"/>
  <c r="AQ23" i="19"/>
  <c r="AR23" i="19"/>
  <c r="AS23" i="19"/>
  <c r="AA27" i="19"/>
  <c r="AP27" i="19"/>
  <c r="AQ27" i="19"/>
  <c r="AR27" i="19"/>
  <c r="AS27" i="19"/>
  <c r="AP28" i="19"/>
  <c r="AQ28" i="19"/>
  <c r="AR28" i="19"/>
  <c r="AS28" i="19"/>
  <c r="AP29" i="19"/>
  <c r="AQ29" i="19"/>
  <c r="AR29" i="19"/>
  <c r="AS29" i="19"/>
  <c r="AP30" i="19"/>
  <c r="AQ30" i="19"/>
  <c r="AR30" i="19"/>
  <c r="AS30" i="19"/>
  <c r="AA33" i="19"/>
  <c r="AA39" i="19"/>
  <c r="AA49" i="19"/>
  <c r="AP33" i="19"/>
  <c r="AQ33" i="19"/>
  <c r="AR33" i="19"/>
  <c r="AS33" i="19"/>
  <c r="AP34" i="19"/>
  <c r="AQ34" i="19"/>
  <c r="AR34" i="19"/>
  <c r="AS34" i="19"/>
  <c r="AP35" i="19"/>
  <c r="AQ35" i="19"/>
  <c r="AR35" i="19"/>
  <c r="AS35" i="19"/>
  <c r="AP36" i="19"/>
  <c r="AQ36" i="19"/>
  <c r="AR36" i="19"/>
  <c r="AS36" i="19"/>
  <c r="AP39" i="19"/>
  <c r="AQ39" i="19"/>
  <c r="AR39" i="19"/>
  <c r="AS39" i="19"/>
  <c r="AP41" i="19"/>
  <c r="AQ41" i="19"/>
  <c r="AR41" i="19"/>
  <c r="AS41" i="19"/>
  <c r="AA42" i="19"/>
  <c r="AP42" i="19"/>
  <c r="AQ42" i="19"/>
  <c r="AR42" i="19"/>
  <c r="AS42" i="19"/>
  <c r="AP43" i="19"/>
  <c r="AQ43" i="19"/>
  <c r="AR43" i="19"/>
  <c r="AS43" i="19"/>
  <c r="AP44" i="19"/>
  <c r="AQ44" i="19"/>
  <c r="AR44" i="19"/>
  <c r="AS44" i="19"/>
  <c r="AP45" i="19"/>
  <c r="AQ45" i="19"/>
  <c r="AR45" i="19"/>
  <c r="AS45" i="19"/>
  <c r="AP46" i="19"/>
  <c r="AQ46" i="19"/>
  <c r="AR46" i="19"/>
  <c r="AS46" i="19"/>
  <c r="AP47" i="19"/>
  <c r="AQ47" i="19"/>
  <c r="AR47" i="19"/>
  <c r="AS47" i="19"/>
  <c r="AQ48" i="19"/>
  <c r="AR48" i="19"/>
  <c r="AS48" i="19"/>
  <c r="AP49" i="19"/>
  <c r="AQ49" i="19"/>
  <c r="AR49" i="19"/>
  <c r="AS49" i="19"/>
  <c r="W51" i="19"/>
  <c r="X51" i="19"/>
  <c r="Y51" i="19"/>
  <c r="AR51" i="19"/>
  <c r="Z51" i="19"/>
  <c r="AA51" i="19"/>
  <c r="AB51" i="19"/>
  <c r="AC51" i="19"/>
  <c r="AS51" i="19"/>
  <c r="AP51" i="19"/>
  <c r="AQ51" i="19"/>
  <c r="AP3" i="18"/>
  <c r="AQ3" i="18"/>
  <c r="AR3" i="18"/>
  <c r="AS3" i="18"/>
  <c r="AP6" i="18"/>
  <c r="AQ6" i="18"/>
  <c r="AR6" i="18"/>
  <c r="AS6" i="18"/>
  <c r="AP7" i="18"/>
  <c r="AQ7" i="18"/>
  <c r="AR7" i="18"/>
  <c r="AS7" i="18"/>
  <c r="AP8" i="18"/>
  <c r="AQ8" i="18"/>
  <c r="AR8" i="18"/>
  <c r="AS8" i="18"/>
  <c r="AS9" i="18"/>
  <c r="AP13" i="18"/>
  <c r="AQ13" i="18"/>
  <c r="AR13" i="18"/>
  <c r="AS13" i="18"/>
  <c r="AP14" i="18"/>
  <c r="AQ14" i="18"/>
  <c r="AR14" i="18"/>
  <c r="AS14" i="18"/>
  <c r="AP15" i="18"/>
  <c r="AQ15" i="18"/>
  <c r="AP16" i="18"/>
  <c r="AQ16" i="18"/>
  <c r="AR16" i="18"/>
  <c r="AS16" i="18"/>
  <c r="AP20" i="18"/>
  <c r="AQ20" i="18"/>
  <c r="AR20" i="18"/>
  <c r="AS20" i="18"/>
  <c r="AP22" i="18"/>
  <c r="AQ22" i="18"/>
  <c r="AR22" i="18"/>
  <c r="AS22" i="18"/>
  <c r="AP23" i="18"/>
  <c r="AQ23" i="18"/>
  <c r="AR23" i="18"/>
  <c r="AS23" i="18"/>
  <c r="AP24" i="18"/>
  <c r="AQ24" i="18"/>
  <c r="AR24" i="18"/>
  <c r="AS24" i="18"/>
  <c r="AP26" i="18"/>
  <c r="AQ26" i="18"/>
  <c r="AR26" i="18"/>
  <c r="AS26" i="18"/>
  <c r="AP27" i="18"/>
  <c r="AQ27" i="18"/>
  <c r="AR27" i="18"/>
  <c r="AS27" i="18"/>
  <c r="AA29" i="18"/>
  <c r="AA18" i="12"/>
  <c r="AP29" i="18"/>
  <c r="AQ29" i="18"/>
  <c r="AR29" i="18"/>
  <c r="AS29" i="18"/>
  <c r="AQ35" i="18"/>
  <c r="AR37" i="18"/>
  <c r="AS37" i="18"/>
  <c r="AP42" i="18"/>
  <c r="AQ42" i="18"/>
  <c r="AR42" i="18"/>
  <c r="AS42" i="18"/>
  <c r="AP43" i="18"/>
  <c r="AQ43" i="18"/>
  <c r="AR43" i="18"/>
  <c r="AS43" i="18"/>
  <c r="AP44" i="18"/>
  <c r="AP45" i="18"/>
  <c r="AQ45" i="18"/>
  <c r="AR45" i="18"/>
  <c r="AS45" i="18"/>
  <c r="AP47" i="18"/>
  <c r="AQ47" i="18"/>
  <c r="AR47" i="18"/>
  <c r="AS47" i="18"/>
  <c r="AP50" i="18"/>
  <c r="AP53" i="18"/>
  <c r="AQ53" i="18"/>
  <c r="AR53" i="18"/>
  <c r="AS53" i="18"/>
  <c r="AP56" i="18"/>
  <c r="AQ56" i="18"/>
  <c r="AR56" i="18"/>
  <c r="AS56" i="18"/>
  <c r="AP57" i="18"/>
  <c r="AQ57" i="18"/>
  <c r="AR57" i="18"/>
  <c r="AS57" i="18"/>
  <c r="AP58" i="18"/>
  <c r="AQ58" i="18"/>
  <c r="AR58" i="18"/>
  <c r="AS58" i="18"/>
  <c r="AR59" i="18"/>
  <c r="AP64" i="18"/>
  <c r="AP65" i="18"/>
  <c r="AQ65" i="18"/>
  <c r="AR65" i="18"/>
  <c r="AS65" i="18"/>
  <c r="AA66" i="18"/>
  <c r="AP66" i="18"/>
  <c r="AQ66" i="18"/>
  <c r="AR66" i="18"/>
  <c r="AS66" i="18"/>
  <c r="AP69" i="18"/>
  <c r="AQ69" i="18"/>
  <c r="AR69" i="18"/>
  <c r="AS69" i="18"/>
  <c r="AP71" i="18"/>
  <c r="AQ71" i="18"/>
  <c r="AR71" i="18"/>
  <c r="AS71" i="18"/>
  <c r="AA73" i="18"/>
  <c r="AP73" i="18"/>
  <c r="AQ73" i="18"/>
  <c r="AR73" i="18"/>
  <c r="AS73" i="18"/>
  <c r="AP75" i="18"/>
  <c r="AQ75" i="18"/>
  <c r="AR75" i="18"/>
  <c r="AS75" i="18"/>
  <c r="AQ3" i="17"/>
  <c r="AR3" i="17"/>
  <c r="AS3" i="17"/>
  <c r="AT3" i="17"/>
  <c r="AQ5" i="17"/>
  <c r="AR5" i="17"/>
  <c r="AS5" i="17"/>
  <c r="AT5" i="17"/>
  <c r="AQ6" i="17"/>
  <c r="AR6" i="17"/>
  <c r="AS6" i="17"/>
  <c r="AT6" i="17"/>
  <c r="AQ8" i="17"/>
  <c r="AR8" i="17"/>
  <c r="AS8" i="17"/>
  <c r="AT8" i="17"/>
  <c r="AQ10" i="17"/>
  <c r="AR10" i="17"/>
  <c r="AS10" i="17"/>
  <c r="AT10" i="17"/>
  <c r="AQ11" i="17"/>
  <c r="AR11" i="17"/>
  <c r="AS11" i="17"/>
  <c r="AT11" i="17"/>
  <c r="AQ12" i="17"/>
  <c r="AR12" i="17"/>
  <c r="AS12" i="17"/>
  <c r="AT12" i="17"/>
  <c r="AQ13" i="17"/>
  <c r="AR13" i="17"/>
  <c r="AS13" i="17"/>
  <c r="AT13" i="17"/>
  <c r="AQ14" i="17"/>
  <c r="AR14" i="17"/>
  <c r="AQ17" i="17"/>
  <c r="AR17" i="17"/>
  <c r="AS17" i="17"/>
  <c r="AT17" i="17"/>
  <c r="AQ21" i="17"/>
  <c r="AR21" i="17"/>
  <c r="AS21" i="17"/>
  <c r="AT21" i="17"/>
  <c r="AQ22" i="17"/>
  <c r="AR22" i="17"/>
  <c r="AS22" i="17"/>
  <c r="AT22" i="17"/>
  <c r="AQ23" i="17"/>
  <c r="AR23" i="17"/>
  <c r="AS23" i="17"/>
  <c r="AT23" i="17"/>
  <c r="AQ24" i="17"/>
  <c r="AR24" i="17"/>
  <c r="AT24" i="17"/>
  <c r="AQ25" i="17"/>
  <c r="AR25" i="17"/>
  <c r="AS25" i="17"/>
  <c r="AT25" i="17"/>
  <c r="AQ27" i="17"/>
  <c r="AR27" i="17"/>
  <c r="AS27" i="17"/>
  <c r="AT27" i="17"/>
  <c r="AQ30" i="17"/>
  <c r="AR30" i="17"/>
  <c r="AS30" i="17"/>
  <c r="AT30" i="17"/>
  <c r="AQ32" i="17"/>
  <c r="AR32" i="17"/>
  <c r="AS32" i="17"/>
  <c r="AT32" i="17"/>
  <c r="AQ35" i="17"/>
  <c r="AR35" i="17"/>
  <c r="AS35" i="17"/>
  <c r="AT35" i="17"/>
  <c r="AQ39" i="17"/>
  <c r="AR39" i="17"/>
  <c r="AS39" i="17"/>
  <c r="AT39" i="17"/>
  <c r="AQ42" i="17"/>
  <c r="AR42" i="17"/>
  <c r="AS42" i="17"/>
  <c r="AT42" i="17"/>
  <c r="AQ51" i="17"/>
  <c r="AR51" i="17"/>
  <c r="AS51" i="17"/>
  <c r="AT51" i="17"/>
  <c r="AP53" i="17"/>
  <c r="AQ53" i="17"/>
  <c r="AR53" i="17"/>
  <c r="AS53" i="17"/>
  <c r="AT53" i="17"/>
  <c r="AM54" i="17"/>
  <c r="AN54" i="17"/>
  <c r="AO54" i="17"/>
  <c r="AP54" i="17"/>
  <c r="AQ54" i="17"/>
  <c r="AR54" i="17"/>
  <c r="AS54" i="17"/>
  <c r="AT54" i="17"/>
  <c r="B56" i="17"/>
  <c r="B59" i="17"/>
  <c r="C56" i="17"/>
  <c r="C59" i="17"/>
  <c r="D56" i="17"/>
  <c r="D59" i="17"/>
  <c r="E56" i="17"/>
  <c r="E59" i="17"/>
  <c r="F56" i="17"/>
  <c r="F59" i="17"/>
  <c r="G56" i="17"/>
  <c r="G59" i="17"/>
  <c r="H56" i="17"/>
  <c r="H59" i="17"/>
  <c r="I56" i="17"/>
  <c r="I59" i="17"/>
  <c r="J56" i="17"/>
  <c r="J59" i="17"/>
  <c r="K56" i="17"/>
  <c r="K59" i="17"/>
  <c r="L56" i="17"/>
  <c r="L59" i="17"/>
  <c r="M56" i="17"/>
  <c r="M59" i="17"/>
  <c r="N56" i="17"/>
  <c r="N5" i="12"/>
  <c r="O56" i="17"/>
  <c r="O59" i="17"/>
  <c r="P56" i="17"/>
  <c r="P10" i="12"/>
  <c r="Q56" i="17"/>
  <c r="AQ56" i="17"/>
  <c r="Q5" i="12"/>
  <c r="AQ5" i="12" s="1"/>
  <c r="R56" i="17"/>
  <c r="R59" i="17"/>
  <c r="AR59" i="17"/>
  <c r="R5" i="12"/>
  <c r="S56" i="17"/>
  <c r="S5" i="12"/>
  <c r="T56" i="17"/>
  <c r="T59" i="17"/>
  <c r="U56" i="17"/>
  <c r="U5" i="12"/>
  <c r="AR5" i="12" s="1"/>
  <c r="V56" i="17"/>
  <c r="V59" i="17"/>
  <c r="W56" i="17"/>
  <c r="W5" i="12"/>
  <c r="X56" i="17"/>
  <c r="X59" i="17"/>
  <c r="Y56" i="17"/>
  <c r="Y5" i="12"/>
  <c r="AS5" i="12" s="1"/>
  <c r="Z56" i="17"/>
  <c r="Z59" i="17"/>
  <c r="AA56" i="17"/>
  <c r="AA5" i="12"/>
  <c r="AB56" i="17"/>
  <c r="AB59" i="17"/>
  <c r="AQ10" i="12"/>
  <c r="AT56" i="17"/>
  <c r="AC59" i="17"/>
  <c r="AT59" i="17"/>
  <c r="O60" i="17"/>
  <c r="P60" i="17"/>
  <c r="Q60" i="17"/>
  <c r="AQ60" i="17"/>
  <c r="R60" i="17"/>
  <c r="AR60" i="17"/>
  <c r="S60" i="17"/>
  <c r="T60" i="17"/>
  <c r="U60" i="17"/>
  <c r="V60" i="17"/>
  <c r="W60" i="17"/>
  <c r="X60" i="17"/>
  <c r="Y60" i="17"/>
  <c r="AS60" i="17"/>
  <c r="Z60" i="17"/>
  <c r="AA60" i="17"/>
  <c r="AB60" i="17"/>
  <c r="AC60" i="17"/>
  <c r="AT60" i="17"/>
  <c r="O61" i="17"/>
  <c r="O17" i="12"/>
  <c r="P61" i="17"/>
  <c r="P17" i="12"/>
  <c r="Q61" i="17"/>
  <c r="AQ61" i="17"/>
  <c r="R61" i="17"/>
  <c r="AR61" i="17"/>
  <c r="S61" i="17"/>
  <c r="S17" i="12"/>
  <c r="T61" i="17"/>
  <c r="T17" i="12"/>
  <c r="U61" i="17"/>
  <c r="U17" i="12"/>
  <c r="AR17" i="12" s="1"/>
  <c r="V61" i="17"/>
  <c r="V17" i="12"/>
  <c r="W61" i="17"/>
  <c r="W17" i="12"/>
  <c r="X61" i="17"/>
  <c r="X17" i="12"/>
  <c r="Y61" i="17"/>
  <c r="AS61" i="17"/>
  <c r="AT61" i="17"/>
  <c r="AQ4" i="16"/>
  <c r="AQ5" i="16"/>
  <c r="AR4" i="16"/>
  <c r="AS4" i="16"/>
  <c r="AQ6" i="16"/>
  <c r="AQ7" i="16"/>
  <c r="AR6" i="16"/>
  <c r="AS7" i="16"/>
  <c r="AS6" i="16"/>
  <c r="T8" i="16"/>
  <c r="AQ8" i="16"/>
  <c r="AR8" i="16"/>
  <c r="AS8" i="16"/>
  <c r="AQ13" i="16"/>
  <c r="AQ14" i="16"/>
  <c r="AR13" i="16"/>
  <c r="AS13" i="16"/>
  <c r="B4" i="23"/>
  <c r="B49" i="23"/>
  <c r="C4" i="23"/>
  <c r="C49" i="23"/>
  <c r="D4" i="23"/>
  <c r="E4" i="23"/>
  <c r="Y4" i="23"/>
  <c r="Z5" i="23"/>
  <c r="F4" i="23"/>
  <c r="F49" i="23"/>
  <c r="G4" i="23"/>
  <c r="G49" i="23"/>
  <c r="B45" i="23"/>
  <c r="C45" i="23"/>
  <c r="D45" i="23"/>
  <c r="Y45" i="23"/>
  <c r="E46" i="23"/>
  <c r="Y46" i="23"/>
  <c r="E47" i="23"/>
  <c r="Y47" i="23"/>
  <c r="H49" i="23"/>
  <c r="N5" i="15"/>
  <c r="O5" i="15"/>
  <c r="P5" i="15"/>
  <c r="W5" i="15"/>
  <c r="X5" i="15"/>
  <c r="Y5" i="15"/>
  <c r="AS5" i="15"/>
  <c r="Z5" i="15"/>
  <c r="AA5" i="15"/>
  <c r="AQ5" i="15"/>
  <c r="AQ6" i="15"/>
  <c r="AR5" i="15"/>
  <c r="AQ7" i="15"/>
  <c r="AQ8" i="15"/>
  <c r="AR7" i="15"/>
  <c r="AS7" i="15"/>
  <c r="AQ9" i="15"/>
  <c r="AQ10" i="15"/>
  <c r="AR9" i="15"/>
  <c r="AS9" i="15"/>
  <c r="AQ13" i="15"/>
  <c r="AQ14" i="15"/>
  <c r="AR13" i="15"/>
  <c r="AS13" i="15"/>
  <c r="AQ15" i="15"/>
  <c r="AQ16" i="15"/>
  <c r="AR15" i="15"/>
  <c r="AS15" i="15"/>
  <c r="AQ17" i="15"/>
  <c r="AQ18" i="15"/>
  <c r="AR17" i="15"/>
  <c r="AS17" i="15"/>
  <c r="AS18" i="15"/>
  <c r="AQ21" i="15"/>
  <c r="AQ22" i="15"/>
  <c r="AR21" i="15"/>
  <c r="AS21" i="15"/>
  <c r="AQ24" i="15"/>
  <c r="AQ26" i="15"/>
  <c r="AQ37" i="15"/>
  <c r="AQ38" i="15"/>
  <c r="AR37" i="15"/>
  <c r="AS37" i="15"/>
  <c r="AS38" i="15"/>
  <c r="N41" i="15"/>
  <c r="O41" i="15"/>
  <c r="P41" i="15"/>
  <c r="Q41" i="15"/>
  <c r="AQ41" i="15"/>
  <c r="R41" i="15"/>
  <c r="S41" i="15"/>
  <c r="T41" i="15"/>
  <c r="U41" i="15"/>
  <c r="AR41" i="15"/>
  <c r="V41" i="15"/>
  <c r="W41" i="15"/>
  <c r="X41" i="15"/>
  <c r="Y41" i="15"/>
  <c r="AS41" i="15"/>
  <c r="Z41" i="15"/>
  <c r="AA41" i="15"/>
  <c r="AQ42" i="15"/>
  <c r="AR42" i="15"/>
  <c r="AS42" i="15"/>
  <c r="N43" i="15"/>
  <c r="O43" i="15"/>
  <c r="P43" i="15"/>
  <c r="Q43" i="15"/>
  <c r="AQ43" i="15"/>
  <c r="R43" i="15"/>
  <c r="S43" i="15"/>
  <c r="T43" i="15"/>
  <c r="U43" i="15"/>
  <c r="AR43" i="15"/>
  <c r="V43" i="15"/>
  <c r="W43" i="15"/>
  <c r="X43" i="15"/>
  <c r="Y43" i="15"/>
  <c r="AS43" i="15"/>
  <c r="Z43" i="15"/>
  <c r="AA43" i="15"/>
  <c r="AB43" i="15"/>
  <c r="AQ45" i="15"/>
  <c r="AR45" i="15"/>
  <c r="AS45" i="15"/>
  <c r="N4" i="20"/>
  <c r="N45" i="20"/>
  <c r="O4" i="20"/>
  <c r="O45" i="20"/>
  <c r="V4" i="20"/>
  <c r="V45" i="20"/>
  <c r="W4" i="20"/>
  <c r="W45" i="20"/>
  <c r="X4" i="20"/>
  <c r="X45" i="20"/>
  <c r="Y4" i="20"/>
  <c r="AS4" i="20"/>
  <c r="Z4" i="20"/>
  <c r="Z45" i="20"/>
  <c r="AA4" i="20"/>
  <c r="AA45" i="20"/>
  <c r="AQ4" i="20"/>
  <c r="AQ5" i="20"/>
  <c r="AR4" i="20"/>
  <c r="AQ6" i="20"/>
  <c r="AQ7" i="20"/>
  <c r="AR6" i="20"/>
  <c r="AS6" i="20"/>
  <c r="AT6" i="20"/>
  <c r="AQ8" i="20"/>
  <c r="AQ9" i="20"/>
  <c r="AR8" i="20"/>
  <c r="AS8" i="20"/>
  <c r="AT8" i="20"/>
  <c r="AT9" i="20"/>
  <c r="AQ10" i="20"/>
  <c r="AQ11" i="20"/>
  <c r="AR10" i="20"/>
  <c r="AS10" i="20"/>
  <c r="AT11" i="20"/>
  <c r="AQ14" i="20"/>
  <c r="AQ15" i="20"/>
  <c r="AR14" i="20"/>
  <c r="AR15" i="20"/>
  <c r="AS14" i="20"/>
  <c r="AT14" i="20"/>
  <c r="AU15" i="20"/>
  <c r="AQ16" i="20"/>
  <c r="AQ17" i="20"/>
  <c r="AR16" i="20"/>
  <c r="AS16" i="20"/>
  <c r="AT16" i="20"/>
  <c r="AU17" i="20"/>
  <c r="AQ18" i="20"/>
  <c r="AQ19" i="20"/>
  <c r="AR18" i="20"/>
  <c r="AS18" i="20"/>
  <c r="AQ20" i="20"/>
  <c r="AQ21" i="20"/>
  <c r="AR20" i="20"/>
  <c r="AS20" i="20"/>
  <c r="AT20" i="20"/>
  <c r="AQ25" i="20"/>
  <c r="AQ27" i="20"/>
  <c r="AS27" i="20"/>
  <c r="AU27" i="20"/>
  <c r="AQ40" i="20"/>
  <c r="AQ41" i="20"/>
  <c r="AR40" i="20"/>
  <c r="AS40" i="20"/>
  <c r="N44" i="20"/>
  <c r="O44" i="20"/>
  <c r="P44" i="20"/>
  <c r="Q44" i="20"/>
  <c r="AQ44" i="20"/>
  <c r="R44" i="20"/>
  <c r="S44" i="20"/>
  <c r="T44" i="20"/>
  <c r="U44" i="20"/>
  <c r="AR44" i="20"/>
  <c r="V44" i="20"/>
  <c r="W44" i="20"/>
  <c r="X44" i="20"/>
  <c r="Y44" i="20"/>
  <c r="AS44" i="20"/>
  <c r="Z44" i="20"/>
  <c r="AA44" i="20"/>
  <c r="AB44" i="20"/>
  <c r="AC44" i="20"/>
  <c r="AT44" i="20"/>
  <c r="P45" i="20"/>
  <c r="Q45" i="20"/>
  <c r="AQ45" i="20"/>
  <c r="R45" i="20"/>
  <c r="S45" i="20"/>
  <c r="T45" i="20"/>
  <c r="U45" i="20"/>
  <c r="AR45" i="20"/>
  <c r="AB45" i="20"/>
  <c r="AC45" i="20"/>
  <c r="AT45" i="20"/>
  <c r="V4" i="1"/>
  <c r="V50" i="1" s="1"/>
  <c r="W4" i="1"/>
  <c r="W50" i="1" s="1"/>
  <c r="X4" i="1"/>
  <c r="X50" i="1" s="1"/>
  <c r="Y4" i="1"/>
  <c r="AS4" i="1" s="1"/>
  <c r="Z4" i="1"/>
  <c r="Z50" i="1" s="1"/>
  <c r="AA4" i="1"/>
  <c r="AA50" i="1" s="1"/>
  <c r="AQ4" i="1"/>
  <c r="AQ5" i="1"/>
  <c r="AR4" i="1"/>
  <c r="AT4" i="1"/>
  <c r="AQ6" i="1"/>
  <c r="AQ7" i="1"/>
  <c r="AR6" i="1"/>
  <c r="AS6" i="1"/>
  <c r="AT6" i="1"/>
  <c r="AQ8" i="1"/>
  <c r="AR8" i="1"/>
  <c r="AS8" i="1"/>
  <c r="AS9" i="1"/>
  <c r="AT8" i="1"/>
  <c r="AQ10" i="1"/>
  <c r="AR10" i="1"/>
  <c r="AS10" i="1"/>
  <c r="AT10" i="1"/>
  <c r="AQ11" i="1"/>
  <c r="AS12" i="1"/>
  <c r="AT12" i="1"/>
  <c r="AT13" i="1"/>
  <c r="AQ16" i="1"/>
  <c r="AQ17" i="1"/>
  <c r="AR16" i="1"/>
  <c r="AS16" i="1"/>
  <c r="AT16" i="1"/>
  <c r="AT17" i="1"/>
  <c r="AQ18" i="1"/>
  <c r="AQ19" i="1"/>
  <c r="AR18" i="1"/>
  <c r="AS18" i="1"/>
  <c r="AT18" i="1"/>
  <c r="AT19" i="1"/>
  <c r="AQ20" i="1"/>
  <c r="AQ21" i="1"/>
  <c r="AR20" i="1"/>
  <c r="AS20" i="1"/>
  <c r="AT20" i="1"/>
  <c r="AT21" i="1"/>
  <c r="AQ22" i="1"/>
  <c r="AQ23" i="1"/>
  <c r="AR22" i="1"/>
  <c r="AS22" i="1"/>
  <c r="AT22" i="1"/>
  <c r="AS24" i="1"/>
  <c r="AT24" i="1"/>
  <c r="AQ31" i="1"/>
  <c r="AQ33" i="1"/>
  <c r="AQ44" i="1"/>
  <c r="AQ45" i="1"/>
  <c r="AR44" i="1"/>
  <c r="AS44" i="1"/>
  <c r="AT44" i="1"/>
  <c r="N48" i="1"/>
  <c r="O48" i="1"/>
  <c r="P48" i="1"/>
  <c r="Q48" i="1"/>
  <c r="AQ48" i="1"/>
  <c r="R48" i="1"/>
  <c r="S48" i="1"/>
  <c r="T48" i="1"/>
  <c r="U48" i="1"/>
  <c r="AR48" i="1"/>
  <c r="V48" i="1"/>
  <c r="W48" i="1"/>
  <c r="X48" i="1"/>
  <c r="Y48" i="1"/>
  <c r="AS48" i="1"/>
  <c r="Z48" i="1"/>
  <c r="AA48" i="1"/>
  <c r="AB48" i="1"/>
  <c r="AC48" i="1"/>
  <c r="AT48" i="1"/>
  <c r="AQ49" i="1"/>
  <c r="AR49" i="1"/>
  <c r="AS49" i="1"/>
  <c r="AT49" i="1"/>
  <c r="N50" i="1"/>
  <c r="O50" i="1"/>
  <c r="P50" i="1"/>
  <c r="Q50" i="1"/>
  <c r="AQ50" i="1"/>
  <c r="R50" i="1"/>
  <c r="S50" i="1"/>
  <c r="T50" i="1"/>
  <c r="U50" i="1"/>
  <c r="AR50" i="1"/>
  <c r="AB50" i="1"/>
  <c r="AC50" i="1"/>
  <c r="AT50" i="1"/>
  <c r="AC5" i="12"/>
  <c r="AT5" i="12" s="1"/>
  <c r="N6" i="12"/>
  <c r="O6" i="12"/>
  <c r="P6" i="12"/>
  <c r="Q6" i="12"/>
  <c r="AQ6" i="12" s="1"/>
  <c r="R6" i="12"/>
  <c r="S6" i="12"/>
  <c r="T6" i="12"/>
  <c r="U6" i="12"/>
  <c r="AR6" i="12" s="1"/>
  <c r="V6" i="12"/>
  <c r="W6" i="12"/>
  <c r="X6" i="12"/>
  <c r="Y6" i="12"/>
  <c r="AS6" i="12" s="1"/>
  <c r="Z6" i="12"/>
  <c r="AA6" i="12"/>
  <c r="AB6" i="12"/>
  <c r="AC6" i="12"/>
  <c r="AT6" i="12" s="1"/>
  <c r="N7" i="12"/>
  <c r="O7" i="12"/>
  <c r="P7" i="12"/>
  <c r="Q7" i="12"/>
  <c r="AQ7" i="12" s="1"/>
  <c r="R7" i="12"/>
  <c r="S7" i="12"/>
  <c r="T7" i="12"/>
  <c r="U7" i="12"/>
  <c r="AR7" i="12" s="1"/>
  <c r="V7" i="12"/>
  <c r="W7" i="12"/>
  <c r="X7" i="12"/>
  <c r="Y7" i="12"/>
  <c r="AS7" i="12" s="1"/>
  <c r="Z7" i="12"/>
  <c r="AA7" i="12"/>
  <c r="AB7" i="12"/>
  <c r="AC7" i="12"/>
  <c r="AT7" i="12" s="1"/>
  <c r="AQ8" i="12"/>
  <c r="AR8" i="12"/>
  <c r="AS8" i="12"/>
  <c r="AT8" i="12"/>
  <c r="N9" i="12"/>
  <c r="O9" i="12"/>
  <c r="P9" i="12"/>
  <c r="Q9" i="12"/>
  <c r="AQ9" i="12" s="1"/>
  <c r="R9" i="12"/>
  <c r="S9" i="12"/>
  <c r="T9" i="12"/>
  <c r="U9" i="12"/>
  <c r="AR9" i="12" s="1"/>
  <c r="V9" i="12"/>
  <c r="W9" i="12"/>
  <c r="X9" i="12"/>
  <c r="Y9" i="12"/>
  <c r="AS9" i="12" s="1"/>
  <c r="Z9" i="12"/>
  <c r="AA9" i="12"/>
  <c r="AB9" i="12"/>
  <c r="AC9" i="12"/>
  <c r="AT9" i="12" s="1"/>
  <c r="M12" i="12"/>
  <c r="N12" i="12"/>
  <c r="O12" i="12"/>
  <c r="P12" i="12"/>
  <c r="Q12" i="12"/>
  <c r="AQ12" i="12" s="1"/>
  <c r="R12" i="12"/>
  <c r="S12" i="12"/>
  <c r="T12" i="12"/>
  <c r="U12" i="12"/>
  <c r="AR12" i="12" s="1"/>
  <c r="V12" i="12"/>
  <c r="W12" i="12"/>
  <c r="X12" i="12"/>
  <c r="Y12" i="12"/>
  <c r="AS12" i="12" s="1"/>
  <c r="Z12" i="12"/>
  <c r="AB12" i="12"/>
  <c r="AC12" i="12"/>
  <c r="AT12" i="12" s="1"/>
  <c r="AQ13" i="12"/>
  <c r="AR13" i="12"/>
  <c r="AS13" i="12"/>
  <c r="AT13" i="12"/>
  <c r="M16" i="12"/>
  <c r="AP16" i="12" s="1"/>
  <c r="N16" i="12"/>
  <c r="O16" i="12"/>
  <c r="P16" i="12"/>
  <c r="Q16" i="12"/>
  <c r="AQ16" i="12" s="1"/>
  <c r="R16" i="12"/>
  <c r="S16" i="12"/>
  <c r="T16" i="12"/>
  <c r="U16" i="12"/>
  <c r="AR16" i="12"/>
  <c r="V16" i="12"/>
  <c r="W16" i="12"/>
  <c r="X16" i="12"/>
  <c r="Y16" i="12"/>
  <c r="AS16" i="12" s="1"/>
  <c r="Z16" i="12"/>
  <c r="AB16" i="12"/>
  <c r="AC16" i="12"/>
  <c r="AT16" i="12" s="1"/>
  <c r="N17" i="12"/>
  <c r="AA17" i="12"/>
  <c r="AB17" i="12"/>
  <c r="AC17" i="12"/>
  <c r="AT17" i="12" s="1"/>
  <c r="N18" i="12"/>
  <c r="O18" i="12"/>
  <c r="P18" i="12"/>
  <c r="Q18" i="12"/>
  <c r="AQ18" i="12"/>
  <c r="R18" i="12"/>
  <c r="S18" i="12"/>
  <c r="T18" i="12"/>
  <c r="U18" i="12"/>
  <c r="AR18" i="12" s="1"/>
  <c r="V18" i="12"/>
  <c r="W18" i="12"/>
  <c r="X18" i="12"/>
  <c r="Y18" i="12"/>
  <c r="AS18" i="12" s="1"/>
  <c r="Z18" i="12"/>
  <c r="AB18" i="12"/>
  <c r="AC18" i="12"/>
  <c r="AT18" i="12"/>
  <c r="U19" i="12"/>
  <c r="AR19" i="12"/>
  <c r="AQ19" i="12"/>
  <c r="AC10" i="12"/>
  <c r="AT10" i="12" s="1"/>
  <c r="AP10" i="12"/>
  <c r="AS4" i="12"/>
  <c r="AT4" i="12"/>
  <c r="V5" i="12"/>
  <c r="AS5" i="16"/>
  <c r="AB5" i="12"/>
  <c r="O5" i="12"/>
  <c r="T10" i="12"/>
  <c r="AR5" i="16"/>
  <c r="AA59" i="17"/>
  <c r="Y59" i="17"/>
  <c r="AS59" i="17"/>
  <c r="W59" i="17"/>
  <c r="U10" i="12"/>
  <c r="Q59" i="17"/>
  <c r="AQ59" i="17"/>
  <c r="Q10" i="12"/>
  <c r="AQ9" i="16"/>
  <c r="AT5" i="16"/>
  <c r="R17" i="12"/>
  <c r="AB10" i="12"/>
  <c r="T5" i="12"/>
  <c r="V10" i="12"/>
  <c r="AT14" i="16"/>
  <c r="AS22" i="15"/>
  <c r="AS9" i="16"/>
  <c r="AR9" i="16"/>
  <c r="W10" i="12"/>
  <c r="Y10" i="12"/>
  <c r="AS10" i="12" s="1"/>
  <c r="AA10" i="12"/>
  <c r="X10" i="12"/>
  <c r="O10" i="12"/>
  <c r="AR26" i="15"/>
  <c r="AS56" i="17"/>
  <c r="X5" i="12"/>
  <c r="Z10" i="12"/>
  <c r="AS14" i="16"/>
  <c r="AR7" i="16"/>
  <c r="AT9" i="16"/>
  <c r="Y17" i="12"/>
  <c r="R10" i="12"/>
  <c r="P5" i="12"/>
  <c r="P59" i="17"/>
  <c r="N59" i="17"/>
  <c r="N10" i="12"/>
  <c r="D49" i="23"/>
  <c r="AE39" i="19"/>
  <c r="AE49" i="19"/>
  <c r="AA12" i="12"/>
  <c r="AF39" i="19"/>
  <c r="Q17" i="12"/>
  <c r="AQ17" i="12" s="1"/>
  <c r="S10" i="12"/>
  <c r="Z5" i="12"/>
  <c r="M10" i="12"/>
  <c r="S59" i="17"/>
  <c r="AR56" i="17"/>
  <c r="AR14" i="16"/>
  <c r="U59" i="17"/>
  <c r="AA69" i="18"/>
  <c r="AA75" i="18"/>
  <c r="AR27" i="20"/>
  <c r="AE69" i="18"/>
  <c r="AE75" i="18"/>
  <c r="AT27" i="19"/>
  <c r="AG5" i="12"/>
  <c r="AU5" i="12" s="1"/>
  <c r="AG10" i="12"/>
  <c r="AU10" i="12" s="1"/>
  <c r="AU56" i="17"/>
  <c r="AU59" i="17"/>
  <c r="AG59" i="17"/>
  <c r="AT4" i="19"/>
  <c r="AG13" i="12"/>
  <c r="AU13" i="12" s="1"/>
  <c r="AR10" i="12"/>
  <c r="AE23" i="19"/>
  <c r="AE16" i="12"/>
  <c r="AF49" i="19"/>
  <c r="AA23" i="19"/>
  <c r="AA16" i="12"/>
  <c r="AT42" i="19"/>
  <c r="AG23" i="19"/>
  <c r="Z7" i="23"/>
  <c r="Z9" i="23"/>
  <c r="AA18" i="23"/>
  <c r="AA5" i="23"/>
  <c r="AA22" i="23"/>
  <c r="AA7" i="23"/>
  <c r="AA9" i="23"/>
  <c r="AA20" i="23"/>
  <c r="Z20" i="23"/>
  <c r="Z11" i="23"/>
  <c r="E49" i="23"/>
  <c r="Y49" i="23"/>
  <c r="Z30" i="23"/>
  <c r="AA16" i="23"/>
  <c r="Z22" i="23"/>
  <c r="Z28" i="23"/>
  <c r="AA30" i="23"/>
  <c r="Z18" i="23"/>
  <c r="AA11" i="23"/>
  <c r="Z26" i="23"/>
  <c r="AA42" i="23"/>
  <c r="AA28" i="23"/>
  <c r="AT10" i="15"/>
  <c r="AU26" i="15"/>
  <c r="AS24" i="15"/>
  <c r="AU18" i="15"/>
  <c r="AS26" i="15"/>
  <c r="AT22" i="15"/>
  <c r="AS8" i="15"/>
  <c r="AR18" i="15"/>
  <c r="AR38" i="15"/>
  <c r="AR22" i="15"/>
  <c r="AR6" i="15"/>
  <c r="AU22" i="15"/>
  <c r="AT14" i="15"/>
  <c r="AS6" i="15"/>
  <c r="AS16" i="15"/>
  <c r="AS14" i="15"/>
  <c r="AS10" i="15"/>
  <c r="AT18" i="15"/>
  <c r="AR10" i="15"/>
  <c r="AT38" i="15"/>
  <c r="AT6" i="15"/>
  <c r="AT24" i="15"/>
  <c r="AT16" i="15"/>
  <c r="AU6" i="15"/>
  <c r="AR24" i="15"/>
  <c r="AT8" i="15"/>
  <c r="AU16" i="15"/>
  <c r="AR8" i="15"/>
  <c r="AR14" i="15"/>
  <c r="AU24" i="15"/>
  <c r="AR16" i="15"/>
  <c r="AU8" i="15"/>
  <c r="AT26" i="15"/>
  <c r="AS11" i="20"/>
  <c r="AT41" i="20"/>
  <c r="AR9" i="20"/>
  <c r="AS29" i="20"/>
  <c r="AT15" i="20"/>
  <c r="Y45" i="20"/>
  <c r="AS45" i="20"/>
  <c r="AT7" i="20"/>
  <c r="AS41" i="20"/>
  <c r="AT29" i="20"/>
  <c r="AR25" i="20"/>
  <c r="AS21" i="20"/>
  <c r="AR17" i="20"/>
  <c r="AT29" i="1"/>
  <c r="AT5" i="20"/>
  <c r="AS5" i="20"/>
  <c r="AT19" i="20"/>
  <c r="AS25" i="20"/>
  <c r="AS15" i="20"/>
  <c r="AT17" i="20"/>
  <c r="AR5" i="20"/>
  <c r="AU29" i="20"/>
  <c r="AU9" i="20"/>
  <c r="AU25" i="20"/>
  <c r="AT27" i="20"/>
  <c r="AR29" i="20"/>
  <c r="AT25" i="20"/>
  <c r="AU21" i="20"/>
  <c r="AR21" i="20"/>
  <c r="AS17" i="20"/>
  <c r="AS7" i="20"/>
  <c r="AU7" i="20"/>
  <c r="AR7" i="20"/>
  <c r="AS19" i="20"/>
  <c r="AS9" i="20"/>
  <c r="AT21" i="20"/>
  <c r="AR41" i="20"/>
  <c r="AR19" i="20"/>
  <c r="AR11" i="20"/>
  <c r="AU23" i="1"/>
  <c r="AS33" i="1"/>
  <c r="AS31" i="1"/>
  <c r="AS29" i="1"/>
  <c r="AU21" i="1"/>
  <c r="AU45" i="1"/>
  <c r="AR33" i="1"/>
  <c r="AT7" i="1"/>
  <c r="AU5" i="1"/>
  <c r="AU7" i="1"/>
  <c r="AU25" i="1"/>
  <c r="AR29" i="1"/>
  <c r="AS23" i="1"/>
  <c r="AT11" i="1"/>
  <c r="AS45" i="1"/>
  <c r="AR31" i="1"/>
  <c r="AU19" i="1"/>
  <c r="AT45" i="1"/>
  <c r="AR21" i="1"/>
  <c r="AS19" i="1"/>
  <c r="AS17" i="1"/>
  <c r="AR9" i="1"/>
  <c r="AS7" i="1"/>
  <c r="AR5" i="1"/>
  <c r="AU9" i="1"/>
  <c r="AT9" i="1"/>
  <c r="AT25" i="1"/>
  <c r="AS21" i="1"/>
  <c r="AT33" i="1"/>
  <c r="AQ29" i="1"/>
  <c r="AT23" i="1"/>
  <c r="AR23" i="1"/>
  <c r="AS11" i="1"/>
  <c r="AU17" i="1"/>
  <c r="AU31" i="1"/>
  <c r="AR7" i="1"/>
  <c r="AR11" i="1"/>
  <c r="AT31" i="1"/>
  <c r="AR19" i="1"/>
  <c r="AU13" i="1"/>
  <c r="AU29" i="1"/>
  <c r="AR45" i="1"/>
  <c r="AR17" i="1"/>
  <c r="AQ9" i="1"/>
  <c r="AU33" i="1"/>
  <c r="AT19" i="12"/>
  <c r="AS17" i="12"/>
  <c r="AT23" i="19"/>
  <c r="AG16" i="12"/>
  <c r="AU16" i="12" s="1"/>
  <c r="AT39" i="19"/>
  <c r="S36" i="23" l="1"/>
  <c r="S38" i="23"/>
  <c r="F36" i="23"/>
  <c r="Y38" i="23"/>
  <c r="E37" i="23"/>
  <c r="J37" i="23"/>
  <c r="Z36" i="23"/>
  <c r="Z38" i="23"/>
  <c r="Z37" i="23"/>
  <c r="W36" i="23"/>
  <c r="AA36" i="23"/>
  <c r="AA37" i="23"/>
  <c r="O38" i="23"/>
  <c r="K38" i="23"/>
  <c r="W37" i="23"/>
  <c r="L38" i="23"/>
  <c r="L36" i="23"/>
  <c r="H38" i="23"/>
  <c r="H37" i="23"/>
  <c r="N38" i="23"/>
  <c r="J38" i="23"/>
  <c r="AR33" i="15"/>
  <c r="AR32" i="15"/>
  <c r="AR34" i="15"/>
  <c r="AJ34" i="15"/>
  <c r="AM34" i="15"/>
  <c r="I33" i="15"/>
  <c r="AP34" i="15"/>
  <c r="AP32" i="15"/>
  <c r="AP33" i="15"/>
  <c r="AT34" i="15"/>
  <c r="AT32" i="15"/>
  <c r="AT33" i="15"/>
  <c r="AN32" i="15"/>
  <c r="AN34" i="15"/>
  <c r="AN33" i="15"/>
  <c r="AB33" i="15"/>
  <c r="AF33" i="15"/>
  <c r="AO33" i="15"/>
  <c r="AS33" i="15"/>
  <c r="E32" i="15"/>
  <c r="AB32" i="15"/>
  <c r="AF32" i="15"/>
  <c r="AO32" i="15"/>
  <c r="AS32" i="15"/>
  <c r="I32" i="15"/>
  <c r="AJ37" i="20"/>
  <c r="AJ44" i="20"/>
  <c r="AB37" i="20"/>
  <c r="AG35" i="20"/>
  <c r="M37" i="20"/>
  <c r="Y37" i="20"/>
  <c r="AD37" i="20"/>
  <c r="M35" i="20"/>
  <c r="U35" i="20"/>
  <c r="AC35" i="20"/>
  <c r="U37" i="20"/>
  <c r="AB35" i="20"/>
  <c r="AC37" i="20"/>
  <c r="Q35" i="20"/>
  <c r="AA35" i="20"/>
  <c r="Q37" i="20"/>
  <c r="Z35" i="20"/>
  <c r="AA37" i="20"/>
  <c r="AD35" i="20"/>
  <c r="AE37" i="20"/>
  <c r="AH35" i="20"/>
  <c r="AI37" i="20"/>
  <c r="I37" i="20"/>
  <c r="AR35" i="20"/>
  <c r="AR36" i="20"/>
  <c r="AJ35" i="20"/>
  <c r="I35" i="20"/>
  <c r="AJ36" i="20"/>
  <c r="AE35" i="20"/>
  <c r="AI35" i="20"/>
  <c r="AQ36" i="20"/>
  <c r="AU36" i="20"/>
  <c r="AQ35" i="20"/>
  <c r="AU35" i="20"/>
  <c r="AO37" i="20"/>
  <c r="AS36" i="20"/>
  <c r="AB40" i="1"/>
  <c r="AF40" i="1"/>
  <c r="U40" i="1"/>
  <c r="AE40" i="1"/>
  <c r="AH41" i="1"/>
  <c r="AM41" i="1"/>
  <c r="U41" i="1"/>
  <c r="Z40" i="1"/>
  <c r="AD40" i="1"/>
  <c r="AI41" i="1"/>
  <c r="AQ41" i="1"/>
  <c r="AQ40" i="1"/>
  <c r="M39" i="1"/>
  <c r="Q40" i="1"/>
  <c r="Z39" i="1"/>
  <c r="AA39" i="1"/>
  <c r="AB39" i="1"/>
  <c r="AD41" i="1"/>
  <c r="AP60" i="1"/>
  <c r="AP39" i="1" s="1"/>
  <c r="AT40" i="1"/>
  <c r="I40" i="1"/>
  <c r="AF41" i="1"/>
  <c r="AN40" i="1"/>
  <c r="AS40" i="1"/>
  <c r="AU40" i="1"/>
  <c r="AH39" i="1"/>
  <c r="AI39" i="1"/>
  <c r="AM39" i="1"/>
  <c r="AN39" i="1"/>
  <c r="AO39" i="1"/>
  <c r="AO41" i="1"/>
  <c r="AQ39" i="1"/>
  <c r="AR39" i="1"/>
  <c r="AR41" i="1"/>
  <c r="AS39" i="1"/>
  <c r="AT39" i="1"/>
  <c r="AU39" i="1"/>
  <c r="AJ41" i="1"/>
  <c r="AS5" i="1"/>
  <c r="AT5" i="1"/>
  <c r="Y50" i="1"/>
  <c r="AS50" i="1" s="1"/>
  <c r="AP41" i="1" l="1"/>
  <c r="AP40" i="1"/>
</calcChain>
</file>

<file path=xl/sharedStrings.xml><?xml version="1.0" encoding="utf-8"?>
<sst xmlns="http://schemas.openxmlformats.org/spreadsheetml/2006/main" count="1649" uniqueCount="300">
  <si>
    <t>1Q07</t>
  </si>
  <si>
    <t>P&amp;L (USDm)</t>
  </si>
  <si>
    <t>EBITDA</t>
  </si>
  <si>
    <t>Operating income</t>
  </si>
  <si>
    <t>EBITDA Margin (%)</t>
  </si>
  <si>
    <t>Operating margin (%)</t>
  </si>
  <si>
    <t>1Q06</t>
  </si>
  <si>
    <t>Minority interest</t>
  </si>
  <si>
    <t>Net income</t>
  </si>
  <si>
    <t>Net financial debt</t>
  </si>
  <si>
    <t>Net Debt / EBITDA (x)</t>
  </si>
  <si>
    <t>EPS reported (USD)</t>
  </si>
  <si>
    <t>Cash-flow from operation per share (USD)</t>
  </si>
  <si>
    <t>Net margin (%)</t>
  </si>
  <si>
    <t xml:space="preserve">Operating margin (%) </t>
  </si>
  <si>
    <t>Steel Shipment (000t)</t>
  </si>
  <si>
    <t>Steel products</t>
  </si>
  <si>
    <t>Steel segment</t>
  </si>
  <si>
    <t>9M07</t>
  </si>
  <si>
    <t>H107</t>
  </si>
  <si>
    <t>H106</t>
  </si>
  <si>
    <t>9M06</t>
  </si>
  <si>
    <t>12M06</t>
  </si>
  <si>
    <t>Iron ore products</t>
  </si>
  <si>
    <t>Other segment</t>
  </si>
  <si>
    <t xml:space="preserve">Mining segment </t>
  </si>
  <si>
    <t>Sales to external customers</t>
  </si>
  <si>
    <t>pig iron</t>
  </si>
  <si>
    <t>slabs</t>
  </si>
  <si>
    <t>iron ore concentrate</t>
  </si>
  <si>
    <t>sinter ore</t>
  </si>
  <si>
    <t>Basic and diluted earnings per common share (USD)</t>
  </si>
  <si>
    <t xml:space="preserve">Cash flow from operating activities </t>
  </si>
  <si>
    <t>Adjustments to reconcile net income to net cash provided by operating activities</t>
  </si>
  <si>
    <t>Depreciation and amortization</t>
  </si>
  <si>
    <t>Loss on disposals of property, plant and equipment</t>
  </si>
  <si>
    <t>(Gain)/loss on investments</t>
  </si>
  <si>
    <t xml:space="preserve">Gain from disposal of subsidiaries </t>
  </si>
  <si>
    <t>Gain from operations of discontinued subsidiary</t>
  </si>
  <si>
    <t>Equity in net earnings of associate</t>
  </si>
  <si>
    <t>Impairment losses</t>
  </si>
  <si>
    <t>Accretion expense on asset retirement obligations</t>
  </si>
  <si>
    <t>Other movements</t>
  </si>
  <si>
    <t>Changes in operating assets and liabilities</t>
  </si>
  <si>
    <t>Increase in loans provide by the subsidiary bank</t>
  </si>
  <si>
    <t>Increase/(decrease) in current income tax payable</t>
  </si>
  <si>
    <t xml:space="preserve">Cash flow from investing activities </t>
  </si>
  <si>
    <t>Acquisitions of subsidiaries</t>
  </si>
  <si>
    <t>Acquisitions of associates</t>
  </si>
  <si>
    <t>Proceeds from disposal of discontinued operations</t>
  </si>
  <si>
    <t>Proceeds from adjustment of the original purchase price of subsidiaries</t>
  </si>
  <si>
    <t>Proceeds from sale of property, plant and equipment</t>
  </si>
  <si>
    <t>Purchases and construction of property, plant and equipment</t>
  </si>
  <si>
    <t>Proceeds from sale of investments</t>
  </si>
  <si>
    <t>Loan issued</t>
  </si>
  <si>
    <t>Movement of restricted cash</t>
  </si>
  <si>
    <t>Net cash used in investing activities</t>
  </si>
  <si>
    <t xml:space="preserve">Cash flow from financing activities </t>
  </si>
  <si>
    <t>Proceeds from borrowings and notes payable</t>
  </si>
  <si>
    <t>Repayments of borrowings and notes payable</t>
  </si>
  <si>
    <t>Capital lease payments</t>
  </si>
  <si>
    <t>Proceeds from disposal of assets to the company under common control</t>
  </si>
  <si>
    <t>Contributions from controlling shareholders</t>
  </si>
  <si>
    <t>Payments to controlling shareholders for transfer of interests in subsidiary</t>
  </si>
  <si>
    <t>Dividends paid to minority shareholder of existing subsidiaries</t>
  </si>
  <si>
    <t>Dividends to shareholders</t>
  </si>
  <si>
    <t>Net cash used in financing activities</t>
  </si>
  <si>
    <t>Net increase / (decrease) in cash and cash equivalents</t>
  </si>
  <si>
    <t>Effect of exchange rate changes on cash and cash equivalents</t>
  </si>
  <si>
    <t>Cash and cash equivalents at the beginning of the period</t>
  </si>
  <si>
    <t>Cash and cash equivalents at the end of the period</t>
  </si>
  <si>
    <t>Sales revenue</t>
  </si>
  <si>
    <t>Production cost</t>
  </si>
  <si>
    <t>Gross profit</t>
  </si>
  <si>
    <t>General, administrative and selling expenses</t>
  </si>
  <si>
    <t>General and administrative expenses</t>
  </si>
  <si>
    <t>Selling expenses</t>
  </si>
  <si>
    <t>Taxes other than income tax</t>
  </si>
  <si>
    <t>Other income/(expense)</t>
  </si>
  <si>
    <t>Gain / (loss) on investments</t>
  </si>
  <si>
    <t>Interest income</t>
  </si>
  <si>
    <t>Interest expense</t>
  </si>
  <si>
    <t>Foreign currency exchange loss, net</t>
  </si>
  <si>
    <t>Gain from disposal of subsidiaries</t>
  </si>
  <si>
    <t>Other expense, net</t>
  </si>
  <si>
    <t>Income from continuing operations before income tax</t>
  </si>
  <si>
    <t>and minority interest</t>
  </si>
  <si>
    <t>Income tax</t>
  </si>
  <si>
    <t>Income from continuing operations before minority interest</t>
  </si>
  <si>
    <t>Income from continuing operations</t>
  </si>
  <si>
    <t>Discontinued operations</t>
  </si>
  <si>
    <t xml:space="preserve">Gain from operations of discontinued subsidiary </t>
  </si>
  <si>
    <t>Income from discontinuing operations</t>
  </si>
  <si>
    <t>EBITDA margin %</t>
  </si>
  <si>
    <t>Operating margin %</t>
  </si>
  <si>
    <t xml:space="preserve">Base Dividend per share (USD) </t>
  </si>
  <si>
    <t>ASSETS</t>
  </si>
  <si>
    <t>Current  assets</t>
  </si>
  <si>
    <t>Cash and cash equivalents</t>
  </si>
  <si>
    <t>Short-term investments</t>
  </si>
  <si>
    <t>Accounts receivable, net</t>
  </si>
  <si>
    <t>Inventories, net</t>
  </si>
  <si>
    <t>Other current assets, net</t>
  </si>
  <si>
    <t>Restricted cash</t>
  </si>
  <si>
    <t>Current assets, held for sale</t>
  </si>
  <si>
    <t xml:space="preserve">Non-current assets </t>
  </si>
  <si>
    <t>Long-term investments, net</t>
  </si>
  <si>
    <t>Property, plant and equipment, net</t>
  </si>
  <si>
    <t>Intangible assets</t>
  </si>
  <si>
    <t>Goodwill</t>
  </si>
  <si>
    <t>Other non-current assets, net</t>
  </si>
  <si>
    <t>Non-current assets, held for sale</t>
  </si>
  <si>
    <t>Total assets</t>
  </si>
  <si>
    <t>LIABILITIES AND STOCKHOLDERS’ EQUITY</t>
  </si>
  <si>
    <t>Current liabilities</t>
  </si>
  <si>
    <t>Accounts payable and other liabilities</t>
  </si>
  <si>
    <t>Short-term borrowings</t>
  </si>
  <si>
    <t>Current income tax liability</t>
  </si>
  <si>
    <t>Current liabilities, held for sale</t>
  </si>
  <si>
    <t>Non-current liabilities</t>
  </si>
  <si>
    <t>Long-term borrowings</t>
  </si>
  <si>
    <t>Deferred income tax liability</t>
  </si>
  <si>
    <t>Other long-term liabilities</t>
  </si>
  <si>
    <t>Non-current liabilities, held for sale</t>
  </si>
  <si>
    <t>Total liabilities</t>
  </si>
  <si>
    <t>Stockholders’ equity</t>
  </si>
  <si>
    <t>Common stock</t>
  </si>
  <si>
    <t>Statutory reserve</t>
  </si>
  <si>
    <t>Additional paid-in capital</t>
  </si>
  <si>
    <t>Other comprehensive income</t>
  </si>
  <si>
    <t>Retained earnings</t>
  </si>
  <si>
    <t>Total liabilities and stockholders’ equity</t>
  </si>
  <si>
    <t>CF (USDm)</t>
  </si>
  <si>
    <t>Operating income / CAPEX</t>
  </si>
  <si>
    <t>CAPEX / Amortisation</t>
  </si>
  <si>
    <t>flat</t>
  </si>
  <si>
    <t>12M07</t>
  </si>
  <si>
    <t xml:space="preserve">сhange </t>
  </si>
  <si>
    <t xml:space="preserve">Depreciation and amortisation </t>
  </si>
  <si>
    <t>n/a</t>
  </si>
  <si>
    <t xml:space="preserve">Cash cost of slabs (USD/t) </t>
  </si>
  <si>
    <t>-</t>
  </si>
  <si>
    <t>Cash acquired in business combination</t>
  </si>
  <si>
    <t>Dividends paid to minority shareholder of acquired subsidiaries</t>
  </si>
  <si>
    <t>Cash included in assets, held for sale</t>
  </si>
  <si>
    <t>31.12.2007</t>
  </si>
  <si>
    <t>(`000 USD)</t>
  </si>
  <si>
    <t xml:space="preserve">Book value per share (USD) </t>
  </si>
  <si>
    <t>Base dividend per share (USD)</t>
  </si>
  <si>
    <t xml:space="preserve">Cash cost of iron ore concentrate (USD/t) </t>
  </si>
  <si>
    <t xml:space="preserve">Operating income per tonne of iron ore (USD/t) </t>
  </si>
  <si>
    <t>billets</t>
  </si>
  <si>
    <t>long products</t>
  </si>
  <si>
    <t>metalware</t>
  </si>
  <si>
    <t xml:space="preserve">Operating income per tonne of steel products (USD/t) </t>
  </si>
  <si>
    <t>Steel production</t>
  </si>
  <si>
    <t>Steel shipments to external customers, incl.</t>
  </si>
  <si>
    <t>Iron ore shipments to external customers, incl.</t>
  </si>
  <si>
    <t xml:space="preserve">Operating income per tonne of steel (USD/t) </t>
  </si>
  <si>
    <t>Iron ore total sales (`000 tonnes)</t>
  </si>
  <si>
    <t>1Q08</t>
  </si>
  <si>
    <t xml:space="preserve">Disposal of subsidiaries, net of cash disposed </t>
  </si>
  <si>
    <t>Payment for acquisition of interests in new subsidiaries</t>
  </si>
  <si>
    <t>H108</t>
  </si>
  <si>
    <t>9M08</t>
  </si>
  <si>
    <t>12M08</t>
  </si>
  <si>
    <t>31.12.2008</t>
  </si>
  <si>
    <t>Loss /(income) on forward contracts</t>
  </si>
  <si>
    <t>Settlement agreement on the dispute</t>
  </si>
  <si>
    <t>Cash in assets held for sale</t>
  </si>
  <si>
    <t>Prepayment for disposal of assets to a company under common control</t>
  </si>
  <si>
    <t>1Q09</t>
  </si>
  <si>
    <t xml:space="preserve">Net income (income attributable to OJSC Novolipetsk Steel stockholders) </t>
  </si>
  <si>
    <t>Deferred income tax assets</t>
  </si>
  <si>
    <t>Settlement of abandoned acquisition</t>
  </si>
  <si>
    <t>Defered income tax (benefit)/expense</t>
  </si>
  <si>
    <t>Decrease / (increase) in accounts receivable</t>
  </si>
  <si>
    <t>Decrease / (increase) in inventories</t>
  </si>
  <si>
    <t>Increase in other current assets</t>
  </si>
  <si>
    <t>(Decrease) / increase in accounts payable and other liabilities</t>
  </si>
  <si>
    <t>H109</t>
  </si>
  <si>
    <t>Placement of bank deposits and purchases of other investments</t>
  </si>
  <si>
    <t>9M09</t>
  </si>
  <si>
    <t>12M2009</t>
  </si>
  <si>
    <t>12M09</t>
  </si>
  <si>
    <t>31.12.2009</t>
  </si>
  <si>
    <t>1Q10</t>
  </si>
  <si>
    <t>1Q2010</t>
  </si>
  <si>
    <r>
      <t>Selling price for external customers (USD/t)</t>
    </r>
    <r>
      <rPr>
        <b/>
        <vertAlign val="superscript"/>
        <sz val="8"/>
        <rFont val="Calibri"/>
        <family val="2"/>
        <charset val="204"/>
      </rPr>
      <t>3</t>
    </r>
  </si>
  <si>
    <r>
      <t>1</t>
    </r>
    <r>
      <rPr>
        <sz val="8"/>
        <rFont val="Calibri"/>
        <family val="2"/>
        <charset val="204"/>
      </rPr>
      <t>All figures are shown since consolidation.</t>
    </r>
  </si>
  <si>
    <r>
      <t>Cash cost of slabs (USD/t)</t>
    </r>
    <r>
      <rPr>
        <sz val="8"/>
        <color indexed="10"/>
        <rFont val="Calibri"/>
        <family val="2"/>
        <charset val="204"/>
      </rPr>
      <t xml:space="preserve"> </t>
    </r>
  </si>
  <si>
    <r>
      <t>Steel shipments to external customers, incl.</t>
    </r>
    <r>
      <rPr>
        <vertAlign val="superscript"/>
        <sz val="8"/>
        <rFont val="Calibri"/>
        <family val="2"/>
        <charset val="204"/>
      </rPr>
      <t>1</t>
    </r>
  </si>
  <si>
    <r>
      <t xml:space="preserve">1 </t>
    </r>
    <r>
      <rPr>
        <sz val="8"/>
        <color indexed="63"/>
        <rFont val="Calibri"/>
        <family val="2"/>
        <charset val="204"/>
      </rPr>
      <t>Not include long products sales</t>
    </r>
  </si>
  <si>
    <r>
      <t xml:space="preserve">2 </t>
    </r>
    <r>
      <rPr>
        <sz val="8"/>
        <color indexed="63"/>
        <rFont val="Calibri"/>
        <family val="2"/>
        <charset val="204"/>
      </rPr>
      <t>Parent Company prices with freight charge.</t>
    </r>
  </si>
  <si>
    <r>
      <t>Long products segment</t>
    </r>
    <r>
      <rPr>
        <b/>
        <vertAlign val="superscript"/>
        <sz val="10"/>
        <color indexed="63"/>
        <rFont val="Calibri"/>
        <family val="2"/>
        <charset val="204"/>
      </rPr>
      <t>1</t>
    </r>
  </si>
  <si>
    <r>
      <t>Steel Shipment (000t)</t>
    </r>
    <r>
      <rPr>
        <b/>
        <vertAlign val="superscript"/>
        <sz val="8"/>
        <color indexed="63"/>
        <rFont val="Calibri"/>
        <family val="2"/>
        <charset val="204"/>
      </rPr>
      <t>2</t>
    </r>
  </si>
  <si>
    <r>
      <t>2</t>
    </r>
    <r>
      <rPr>
        <sz val="8"/>
        <rFont val="Calibri"/>
        <family val="2"/>
        <charset val="204"/>
      </rPr>
      <t xml:space="preserve"> Including long products sales through trading companies </t>
    </r>
  </si>
  <si>
    <r>
      <t>3</t>
    </r>
    <r>
      <rPr>
        <sz val="8"/>
        <rFont val="Calibri"/>
        <family val="2"/>
        <charset val="204"/>
      </rPr>
      <t xml:space="preserve"> Long steel division prices </t>
    </r>
  </si>
  <si>
    <t xml:space="preserve">Financial and operating performance </t>
  </si>
  <si>
    <t xml:space="preserve">Based on US GAAP consolidated financial results </t>
  </si>
  <si>
    <t>H12010</t>
  </si>
  <si>
    <t>H110</t>
  </si>
  <si>
    <t>EBITDA/tonne of steel produced</t>
  </si>
  <si>
    <t>9M2010</t>
  </si>
  <si>
    <t>9M10</t>
  </si>
  <si>
    <t>12M10</t>
  </si>
  <si>
    <t>12M2010</t>
  </si>
  <si>
    <t>31.12.2010</t>
  </si>
  <si>
    <t>metallware</t>
  </si>
  <si>
    <t>1Q11</t>
  </si>
  <si>
    <t>H111</t>
  </si>
  <si>
    <t>H12011</t>
  </si>
  <si>
    <t>9M11</t>
  </si>
  <si>
    <t>9M2011</t>
  </si>
  <si>
    <t>31.12.2011</t>
  </si>
  <si>
    <t>12M2011</t>
  </si>
  <si>
    <t>12M11</t>
  </si>
  <si>
    <t>* Since July 2011 Coke-chemical segment is part of Steel segment, NLMK Dansteel and NLMK Indiana are part of Foreign rolled products segment</t>
  </si>
  <si>
    <t>plate</t>
  </si>
  <si>
    <t>Rolled products</t>
  </si>
  <si>
    <t xml:space="preserve">Operating income per tonne of rolled products (USD/t) </t>
  </si>
  <si>
    <t>Net income (before non-controlling interest)</t>
  </si>
  <si>
    <t>1Q12</t>
  </si>
  <si>
    <r>
      <t>Iron ore Shipment (000t)</t>
    </r>
    <r>
      <rPr>
        <b/>
        <vertAlign val="superscript"/>
        <sz val="8"/>
        <color indexed="63"/>
        <rFont val="Calibri"/>
        <family val="2"/>
        <charset val="204"/>
      </rPr>
      <t>1</t>
    </r>
  </si>
  <si>
    <r>
      <t>Selling price for external customers (USD/t)</t>
    </r>
    <r>
      <rPr>
        <b/>
        <vertAlign val="superscript"/>
        <sz val="8"/>
        <rFont val="Calibri"/>
        <family val="2"/>
        <charset val="204"/>
      </rPr>
      <t>2</t>
    </r>
  </si>
  <si>
    <r>
      <t>1</t>
    </r>
    <r>
      <rPr>
        <sz val="8"/>
        <rFont val="Calibri"/>
        <family val="2"/>
        <charset val="204"/>
      </rPr>
      <t xml:space="preserve"> Including sales through trading companies </t>
    </r>
  </si>
  <si>
    <r>
      <t>2</t>
    </r>
    <r>
      <rPr>
        <sz val="8"/>
        <rFont val="Calibri"/>
        <family val="2"/>
        <charset val="204"/>
      </rPr>
      <t xml:space="preserve"> Stoilensky prices </t>
    </r>
  </si>
  <si>
    <t>H12012</t>
  </si>
  <si>
    <t>H112</t>
  </si>
  <si>
    <t>Rolled products Shipment (000t)</t>
  </si>
  <si>
    <t>Rolled products shipments to external customers, incl.</t>
  </si>
  <si>
    <t>Selling price for external customers (USD/t)</t>
  </si>
  <si>
    <t>slabs and ingots</t>
  </si>
  <si>
    <r>
      <t>Steel products</t>
    </r>
    <r>
      <rPr>
        <vertAlign val="superscript"/>
        <sz val="8"/>
        <rFont val="Calibri"/>
        <family val="2"/>
        <charset val="204"/>
      </rPr>
      <t xml:space="preserve">2 </t>
    </r>
  </si>
  <si>
    <r>
      <t>Coke</t>
    </r>
    <r>
      <rPr>
        <vertAlign val="superscript"/>
        <sz val="8"/>
        <rFont val="Calibri"/>
        <family val="2"/>
        <charset val="204"/>
      </rPr>
      <t>3</t>
    </r>
  </si>
  <si>
    <t>* Since July 2011 NLMK Dansteel and NLMK Indiana are part of Foreign rolled products segment</t>
  </si>
  <si>
    <t>Foreign rolled products segment*</t>
  </si>
  <si>
    <t>9M2012</t>
  </si>
  <si>
    <t>9M12</t>
  </si>
  <si>
    <t>12M2012</t>
  </si>
  <si>
    <t>31.12.2012</t>
  </si>
  <si>
    <t>12M12</t>
  </si>
  <si>
    <t>1Q13</t>
  </si>
  <si>
    <t>Acquisition of additional stake in existing subsidiary</t>
  </si>
  <si>
    <t>H113</t>
  </si>
  <si>
    <t>*to ensure comparability, Q1'13 operating cash flow is adjusted to the classification used in H1'13. Interest income from placing cash in deposits in H1'13 is included into cash flow from investing activities. In the statements published in Q1'13, this interest income was included into operating cash flow. </t>
  </si>
  <si>
    <t>Withdrawal of banks deposits, net</t>
  </si>
  <si>
    <t>Proceeds from sale/(purchases) of investments, net</t>
  </si>
  <si>
    <t>9M2013</t>
  </si>
  <si>
    <t>9M13</t>
  </si>
  <si>
    <t>Interest received</t>
  </si>
  <si>
    <t>Interest paid</t>
  </si>
  <si>
    <t>Сash provided from operating activities</t>
  </si>
  <si>
    <t>Net cash provided from operating activities</t>
  </si>
  <si>
    <t>Disposal of investments</t>
  </si>
  <si>
    <t>12M2013</t>
  </si>
  <si>
    <t>12M13</t>
  </si>
  <si>
    <t>31.12.2013</t>
  </si>
  <si>
    <t>KEY INDICATORS</t>
  </si>
  <si>
    <t>Supplementary ratios</t>
  </si>
  <si>
    <t>Supplementary indicators</t>
  </si>
  <si>
    <t>Debt to Equity ratio (%) *</t>
  </si>
  <si>
    <t>* Debt to Equity ratio = Total Debt/Total Equity</t>
  </si>
  <si>
    <t>1Q14</t>
  </si>
  <si>
    <t xml:space="preserve">Minus: Net income (attributable to the non-controlling interest) </t>
  </si>
  <si>
    <r>
      <t xml:space="preserve">3 </t>
    </r>
    <r>
      <rPr>
        <sz val="8"/>
        <color indexed="63"/>
        <rFont val="Calibri"/>
        <family val="2"/>
        <charset val="204"/>
      </rPr>
      <t>Altai-Koks prices (incl. revenues from by-product sales) with freight charge</t>
    </r>
  </si>
  <si>
    <t>H114</t>
  </si>
  <si>
    <t>Income / (loss), net of income tax</t>
  </si>
  <si>
    <t>Margin, %</t>
  </si>
  <si>
    <t>Intersegment revenue</t>
  </si>
  <si>
    <t>Revenue</t>
  </si>
  <si>
    <t>9M14</t>
  </si>
  <si>
    <t>1Q2012</t>
  </si>
  <si>
    <t>1Q2013</t>
  </si>
  <si>
    <t>H12013</t>
  </si>
  <si>
    <t>1Q2014</t>
  </si>
  <si>
    <t>H12014</t>
  </si>
  <si>
    <t>9M2014</t>
  </si>
  <si>
    <t>1Q2011</t>
  </si>
  <si>
    <t>1Q2009</t>
  </si>
  <si>
    <t>H12009</t>
  </si>
  <si>
    <t>9M2009</t>
  </si>
  <si>
    <t>1Q2006</t>
  </si>
  <si>
    <t>H12006</t>
  </si>
  <si>
    <t>9M2006</t>
  </si>
  <si>
    <t>1Q2007</t>
  </si>
  <si>
    <t>H12007</t>
  </si>
  <si>
    <t>9M2007</t>
  </si>
  <si>
    <t>12M2007</t>
  </si>
  <si>
    <t>1Q2008</t>
  </si>
  <si>
    <t>H12008</t>
  </si>
  <si>
    <t>9M2008</t>
  </si>
  <si>
    <t>12M2008</t>
  </si>
  <si>
    <t>coke</t>
  </si>
  <si>
    <t>12M2006</t>
  </si>
  <si>
    <t>12M2014</t>
  </si>
  <si>
    <t>Impairment of investment in associate</t>
  </si>
  <si>
    <t>31.12.2014</t>
  </si>
  <si>
    <t>12M14</t>
  </si>
  <si>
    <t>2005 - 12M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</si>
</sst>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р_._-;\-* #,##0.00_р_._-;_-* &quot;-&quot;??_р_._-;_-@_-"/>
    <numFmt numFmtId="165" formatCode="_(* #,##0_);_(* \(#,##0\);_(* &quot;-&quot;_);_(@_)"/>
    <numFmt numFmtId="166" formatCode="0.0%"/>
    <numFmt numFmtId="167" formatCode="#,##0.0"/>
    <numFmt numFmtId="168" formatCode="#,##0.000"/>
    <numFmt numFmtId="169" formatCode="0.0"/>
    <numFmt numFmtId="170" formatCode="#,##0.0000"/>
    <numFmt numFmtId="171" formatCode="0.0000"/>
    <numFmt numFmtId="172" formatCode="0.000"/>
    <numFmt numFmtId="173" formatCode="_(* #,##0_);_(* \(#,##0\);_(* &quot;-&quot;??_);_(@_)"/>
    <numFmt numFmtId="174" formatCode="dd/mm/yy;@"/>
    <numFmt numFmtId="175" formatCode="_(* #,##0.00_);_(* \(#,##0.00\);_(* &quot;-&quot;_);_(@_)"/>
    <numFmt numFmtId="176" formatCode="_(* #,##0.0000_);_(* \(#,##0.0000\);_(* &quot;-&quot;??_);_(@_)"/>
  </numFmts>
  <fonts count="52" x14ac:knownFonts="1">
    <font>
      <sz val="10"/>
      <name val="Arial"/>
    </font>
    <font>
      <sz val="10"/>
      <name val="Arial"/>
      <family val="2"/>
      <charset val="204"/>
    </font>
    <font>
      <sz val="8"/>
      <name val="Arial"/>
      <family val="2"/>
      <charset val="204"/>
    </font>
    <font>
      <sz val="10"/>
      <name val="Arial Cyr"/>
      <charset val="204"/>
    </font>
    <font>
      <sz val="11"/>
      <color indexed="8"/>
      <name val="Calibri"/>
      <family val="2"/>
      <charset val="204"/>
    </font>
    <font>
      <sz val="11"/>
      <name val="Times New Roman Cyr"/>
      <charset val="204"/>
    </font>
    <font>
      <b/>
      <vertAlign val="superscript"/>
      <sz val="8"/>
      <color indexed="63"/>
      <name val="Calibri"/>
      <family val="2"/>
      <charset val="204"/>
    </font>
    <font>
      <sz val="8"/>
      <name val="Calibri"/>
      <family val="2"/>
      <charset val="204"/>
    </font>
    <font>
      <sz val="8"/>
      <color indexed="63"/>
      <name val="Calibri"/>
      <family val="2"/>
      <charset val="204"/>
    </font>
    <font>
      <b/>
      <vertAlign val="superscript"/>
      <sz val="8"/>
      <name val="Calibri"/>
      <family val="2"/>
      <charset val="204"/>
    </font>
    <font>
      <vertAlign val="superscript"/>
      <sz val="8"/>
      <name val="Calibri"/>
      <family val="2"/>
      <charset val="204"/>
    </font>
    <font>
      <sz val="8"/>
      <color indexed="10"/>
      <name val="Calibri"/>
      <family val="2"/>
      <charset val="204"/>
    </font>
    <font>
      <b/>
      <vertAlign val="superscript"/>
      <sz val="10"/>
      <color indexed="63"/>
      <name val="Calibri"/>
      <family val="2"/>
      <charset val="204"/>
    </font>
    <font>
      <sz val="10"/>
      <name val="Calibri"/>
      <family val="2"/>
      <charset val="204"/>
      <scheme val="minor"/>
    </font>
    <font>
      <b/>
      <sz val="8"/>
      <color indexed="63"/>
      <name val="Calibri"/>
      <family val="2"/>
      <charset val="204"/>
      <scheme val="minor"/>
    </font>
    <font>
      <b/>
      <sz val="8"/>
      <name val="Calibri"/>
      <family val="2"/>
      <charset val="204"/>
      <scheme val="minor"/>
    </font>
    <font>
      <sz val="8"/>
      <name val="Calibri"/>
      <family val="2"/>
      <charset val="204"/>
      <scheme val="minor"/>
    </font>
    <font>
      <sz val="8"/>
      <color indexed="63"/>
      <name val="Calibri"/>
      <family val="2"/>
      <charset val="204"/>
      <scheme val="minor"/>
    </font>
    <font>
      <i/>
      <sz val="8"/>
      <name val="Calibri"/>
      <family val="2"/>
      <charset val="204"/>
      <scheme val="minor"/>
    </font>
    <font>
      <i/>
      <sz val="8"/>
      <color indexed="63"/>
      <name val="Calibri"/>
      <family val="2"/>
      <charset val="204"/>
      <scheme val="minor"/>
    </font>
    <font>
      <i/>
      <sz val="10"/>
      <name val="Calibri"/>
      <family val="2"/>
      <charset val="204"/>
      <scheme val="minor"/>
    </font>
    <font>
      <i/>
      <sz val="8"/>
      <color indexed="53"/>
      <name val="Calibri"/>
      <family val="2"/>
      <charset val="204"/>
      <scheme val="minor"/>
    </font>
    <font>
      <sz val="8"/>
      <color indexed="53"/>
      <name val="Calibri"/>
      <family val="2"/>
      <charset val="204"/>
      <scheme val="minor"/>
    </font>
    <font>
      <sz val="10"/>
      <color indexed="63"/>
      <name val="Calibri"/>
      <family val="2"/>
      <charset val="204"/>
      <scheme val="minor"/>
    </font>
    <font>
      <i/>
      <sz val="8"/>
      <color indexed="10"/>
      <name val="Calibri"/>
      <family val="2"/>
      <charset val="204"/>
      <scheme val="minor"/>
    </font>
    <font>
      <i/>
      <sz val="10"/>
      <color indexed="10"/>
      <name val="Calibri"/>
      <family val="2"/>
      <charset val="204"/>
      <scheme val="minor"/>
    </font>
    <font>
      <vertAlign val="superscript"/>
      <sz val="8"/>
      <name val="Calibri"/>
      <family val="2"/>
      <charset val="204"/>
      <scheme val="minor"/>
    </font>
    <font>
      <sz val="9"/>
      <color indexed="30"/>
      <name val="Calibri"/>
      <family val="2"/>
      <charset val="204"/>
      <scheme val="minor"/>
    </font>
    <font>
      <b/>
      <i/>
      <sz val="8"/>
      <name val="Calibri"/>
      <family val="2"/>
      <charset val="204"/>
      <scheme val="minor"/>
    </font>
    <font>
      <sz val="8"/>
      <color rgb="FFFF0000"/>
      <name val="Calibri"/>
      <family val="2"/>
      <charset val="204"/>
      <scheme val="minor"/>
    </font>
    <font>
      <b/>
      <sz val="8"/>
      <color indexed="8"/>
      <name val="Calibri"/>
      <family val="2"/>
      <charset val="204"/>
      <scheme val="minor"/>
    </font>
    <font>
      <sz val="8"/>
      <color indexed="8"/>
      <name val="Calibri"/>
      <family val="2"/>
      <charset val="204"/>
      <scheme val="minor"/>
    </font>
    <font>
      <sz val="8"/>
      <color indexed="48"/>
      <name val="Calibri"/>
      <family val="2"/>
      <charset val="204"/>
      <scheme val="minor"/>
    </font>
    <font>
      <b/>
      <i/>
      <sz val="8"/>
      <color indexed="8"/>
      <name val="Calibri"/>
      <family val="2"/>
      <charset val="204"/>
      <scheme val="minor"/>
    </font>
    <font>
      <b/>
      <i/>
      <u/>
      <sz val="10"/>
      <name val="Calibri"/>
      <family val="2"/>
      <charset val="204"/>
      <scheme val="minor"/>
    </font>
    <font>
      <sz val="12"/>
      <name val="Calibri"/>
      <family val="2"/>
      <charset val="204"/>
      <scheme val="minor"/>
    </font>
    <font>
      <b/>
      <sz val="8"/>
      <color indexed="9"/>
      <name val="Calibri"/>
      <family val="2"/>
      <charset val="204"/>
      <scheme val="minor"/>
    </font>
    <font>
      <b/>
      <sz val="10"/>
      <color indexed="63"/>
      <name val="Calibri"/>
      <family val="2"/>
      <charset val="204"/>
      <scheme val="minor"/>
    </font>
    <font>
      <b/>
      <sz val="10"/>
      <color indexed="10"/>
      <name val="Calibri"/>
      <family val="2"/>
      <charset val="204"/>
      <scheme val="minor"/>
    </font>
    <font>
      <sz val="8"/>
      <color indexed="10"/>
      <name val="Calibri"/>
      <family val="2"/>
      <charset val="204"/>
      <scheme val="minor"/>
    </font>
    <font>
      <sz val="10"/>
      <color indexed="10"/>
      <name val="Calibri"/>
      <family val="2"/>
      <charset val="204"/>
      <scheme val="minor"/>
    </font>
    <font>
      <sz val="10"/>
      <color indexed="57"/>
      <name val="Calibri"/>
      <family val="2"/>
      <charset val="204"/>
      <scheme val="minor"/>
    </font>
    <font>
      <sz val="8"/>
      <color indexed="57"/>
      <name val="Calibri"/>
      <family val="2"/>
      <charset val="204"/>
      <scheme val="minor"/>
    </font>
    <font>
      <b/>
      <sz val="10"/>
      <color indexed="53"/>
      <name val="Calibri"/>
      <family val="2"/>
      <charset val="204"/>
      <scheme val="minor"/>
    </font>
    <font>
      <i/>
      <sz val="10"/>
      <color indexed="63"/>
      <name val="Calibri"/>
      <family val="2"/>
      <charset val="204"/>
      <scheme val="minor"/>
    </font>
    <font>
      <vertAlign val="superscript"/>
      <sz val="8"/>
      <color indexed="63"/>
      <name val="Calibri"/>
      <family val="2"/>
      <charset val="204"/>
      <scheme val="minor"/>
    </font>
    <font>
      <sz val="10"/>
      <color indexed="53"/>
      <name val="Calibri"/>
      <family val="2"/>
      <charset val="204"/>
      <scheme val="minor"/>
    </font>
    <font>
      <b/>
      <sz val="16"/>
      <color theme="0"/>
      <name val="Calibri"/>
      <family val="2"/>
      <charset val="204"/>
      <scheme val="minor"/>
    </font>
    <font>
      <sz val="10"/>
      <color theme="0"/>
      <name val="Calibri"/>
      <family val="2"/>
      <charset val="204"/>
      <scheme val="minor"/>
    </font>
    <font>
      <vertAlign val="superscript"/>
      <sz val="8"/>
      <color rgb="FFFF0000"/>
      <name val="Calibri"/>
      <family val="2"/>
      <charset val="204"/>
      <scheme val="minor"/>
    </font>
    <font>
      <i/>
      <sz val="8"/>
      <color rgb="FFFF0000"/>
      <name val="Calibri"/>
      <family val="2"/>
      <charset val="204"/>
      <scheme val="minor"/>
    </font>
    <font>
      <b/>
      <sz val="12"/>
      <name val="Calibri"/>
      <family val="2"/>
      <charset val="204"/>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medium">
        <color indexed="32"/>
      </top>
      <bottom style="medium">
        <color indexed="32"/>
      </bottom>
      <diagonal/>
    </border>
    <border>
      <left/>
      <right/>
      <top style="thin">
        <color indexed="44"/>
      </top>
      <bottom style="thin">
        <color indexed="44"/>
      </bottom>
      <diagonal/>
    </border>
    <border>
      <left/>
      <right/>
      <top style="thin">
        <color indexed="44"/>
      </top>
      <bottom/>
      <diagonal/>
    </border>
    <border>
      <left/>
      <right/>
      <top/>
      <bottom style="thin">
        <color indexed="44"/>
      </bottom>
      <diagonal/>
    </border>
    <border>
      <left/>
      <right/>
      <top/>
      <bottom style="medium">
        <color indexed="18"/>
      </bottom>
      <diagonal/>
    </border>
    <border>
      <left/>
      <right/>
      <top style="medium">
        <color indexed="18"/>
      </top>
      <bottom style="medium">
        <color indexed="18"/>
      </bottom>
      <diagonal/>
    </border>
    <border>
      <left/>
      <right/>
      <top style="medium">
        <color indexed="18"/>
      </top>
      <bottom/>
      <diagonal/>
    </border>
    <border>
      <left/>
      <right/>
      <top style="thin">
        <color indexed="64"/>
      </top>
      <bottom/>
      <diagonal/>
    </border>
    <border>
      <left/>
      <right/>
      <top/>
      <bottom style="thin">
        <color theme="3"/>
      </bottom>
      <diagonal/>
    </border>
  </borders>
  <cellStyleXfs count="40">
    <xf numFmtId="0" fontId="0" fillId="0" borderId="0"/>
    <xf numFmtId="0" fontId="5"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cellStyleXfs>
  <cellXfs count="339">
    <xf numFmtId="0" fontId="0" fillId="0" borderId="0" xfId="0"/>
    <xf numFmtId="0" fontId="13" fillId="0" borderId="0" xfId="0" applyFont="1"/>
    <xf numFmtId="0" fontId="14" fillId="0" borderId="1" xfId="0" applyFont="1" applyBorder="1"/>
    <xf numFmtId="0" fontId="14" fillId="0" borderId="1" xfId="0" applyFont="1" applyFill="1" applyBorder="1" applyAlignment="1">
      <alignment horizontal="right"/>
    </xf>
    <xf numFmtId="0" fontId="14" fillId="0" borderId="1" xfId="0" applyFont="1" applyBorder="1" applyAlignment="1">
      <alignment horizontal="right"/>
    </xf>
    <xf numFmtId="0" fontId="15" fillId="0" borderId="1" xfId="0" applyFont="1" applyFill="1" applyBorder="1" applyAlignment="1">
      <alignment horizontal="right"/>
    </xf>
    <xf numFmtId="0" fontId="15" fillId="0" borderId="0" xfId="0" applyFont="1" applyFill="1" applyBorder="1" applyAlignment="1">
      <alignment horizontal="right"/>
    </xf>
    <xf numFmtId="0" fontId="16" fillId="0" borderId="0" xfId="0" applyFont="1" applyBorder="1"/>
    <xf numFmtId="3" fontId="17" fillId="0" borderId="0" xfId="0" applyNumberFormat="1" applyFont="1" applyFill="1" applyBorder="1" applyAlignment="1">
      <alignment horizontal="right" wrapText="1"/>
    </xf>
    <xf numFmtId="0" fontId="18" fillId="0" borderId="0" xfId="0" applyFont="1" applyBorder="1" applyAlignment="1">
      <alignment horizontal="right"/>
    </xf>
    <xf numFmtId="9" fontId="19" fillId="0" borderId="0" xfId="17" applyNumberFormat="1" applyFont="1" applyBorder="1" applyAlignment="1">
      <alignment horizontal="right"/>
    </xf>
    <xf numFmtId="166" fontId="19" fillId="0" borderId="0" xfId="17" applyNumberFormat="1" applyFont="1" applyBorder="1" applyAlignment="1">
      <alignment horizontal="right"/>
    </xf>
    <xf numFmtId="166" fontId="19" fillId="0" borderId="0" xfId="17" applyNumberFormat="1" applyFont="1" applyFill="1" applyBorder="1" applyAlignment="1">
      <alignment horizontal="right"/>
    </xf>
    <xf numFmtId="166" fontId="18" fillId="0" borderId="0" xfId="17" applyNumberFormat="1" applyFont="1" applyBorder="1" applyAlignment="1">
      <alignment horizontal="right"/>
    </xf>
    <xf numFmtId="9" fontId="19" fillId="0" borderId="0" xfId="17" applyNumberFormat="1" applyFont="1" applyFill="1" applyBorder="1" applyAlignment="1">
      <alignment horizontal="right"/>
    </xf>
    <xf numFmtId="0" fontId="20" fillId="0" borderId="0" xfId="0" applyFont="1"/>
    <xf numFmtId="9" fontId="16" fillId="0" borderId="2" xfId="17" applyNumberFormat="1" applyFont="1" applyFill="1" applyBorder="1" applyAlignment="1">
      <alignment horizontal="right"/>
    </xf>
    <xf numFmtId="9" fontId="16" fillId="0" borderId="0" xfId="17" applyNumberFormat="1" applyFont="1" applyFill="1" applyBorder="1" applyAlignment="1">
      <alignment horizontal="right"/>
    </xf>
    <xf numFmtId="0" fontId="17" fillId="0" borderId="0" xfId="0" applyFont="1" applyBorder="1"/>
    <xf numFmtId="9" fontId="17" fillId="0" borderId="0" xfId="17" applyNumberFormat="1" applyFont="1" applyFill="1" applyBorder="1" applyAlignment="1">
      <alignment horizontal="right"/>
    </xf>
    <xf numFmtId="0" fontId="15" fillId="0" borderId="1" xfId="0" applyFont="1" applyBorder="1"/>
    <xf numFmtId="3" fontId="17" fillId="0" borderId="0" xfId="0" applyNumberFormat="1" applyFont="1" applyFill="1" applyBorder="1" applyAlignment="1">
      <alignment horizontal="right"/>
    </xf>
    <xf numFmtId="1" fontId="17" fillId="0" borderId="0" xfId="0" applyNumberFormat="1" applyFont="1" applyFill="1" applyBorder="1" applyAlignment="1">
      <alignment horizontal="right"/>
    </xf>
    <xf numFmtId="3" fontId="16" fillId="0" borderId="0" xfId="0" applyNumberFormat="1" applyFont="1" applyFill="1" applyBorder="1" applyAlignment="1">
      <alignment horizontal="right"/>
    </xf>
    <xf numFmtId="9" fontId="21" fillId="0" borderId="0" xfId="17" applyNumberFormat="1" applyFont="1" applyBorder="1" applyAlignment="1">
      <alignment horizontal="right"/>
    </xf>
    <xf numFmtId="1" fontId="17" fillId="0" borderId="2" xfId="0" applyNumberFormat="1" applyFont="1" applyFill="1" applyBorder="1" applyAlignment="1">
      <alignment horizontal="right"/>
    </xf>
    <xf numFmtId="9" fontId="22" fillId="0" borderId="0" xfId="17" applyNumberFormat="1" applyFont="1" applyBorder="1" applyAlignment="1">
      <alignment horizontal="right"/>
    </xf>
    <xf numFmtId="9" fontId="17" fillId="0" borderId="0" xfId="17" applyNumberFormat="1" applyFont="1" applyBorder="1" applyAlignment="1">
      <alignment horizontal="right"/>
    </xf>
    <xf numFmtId="166" fontId="17" fillId="0" borderId="0" xfId="17" applyNumberFormat="1" applyFont="1" applyFill="1" applyBorder="1" applyAlignment="1">
      <alignment horizontal="right"/>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166" fontId="21" fillId="0" borderId="0" xfId="17" applyNumberFormat="1" applyFont="1" applyBorder="1" applyAlignment="1">
      <alignment horizontal="right"/>
    </xf>
    <xf numFmtId="1" fontId="17" fillId="0" borderId="2" xfId="0" applyNumberFormat="1" applyFont="1" applyBorder="1" applyAlignment="1">
      <alignment horizontal="center"/>
    </xf>
    <xf numFmtId="1" fontId="17" fillId="0" borderId="2" xfId="0" applyNumberFormat="1" applyFont="1" applyBorder="1" applyAlignment="1">
      <alignment horizontal="right"/>
    </xf>
    <xf numFmtId="1" fontId="22" fillId="0" borderId="2" xfId="0" applyNumberFormat="1" applyFont="1" applyFill="1" applyBorder="1" applyAlignment="1">
      <alignment horizontal="right"/>
    </xf>
    <xf numFmtId="1" fontId="22" fillId="0" borderId="0" xfId="0" applyNumberFormat="1" applyFont="1" applyFill="1" applyBorder="1" applyAlignment="1">
      <alignment horizontal="right"/>
    </xf>
    <xf numFmtId="0" fontId="23" fillId="0" borderId="0" xfId="0" applyFont="1"/>
    <xf numFmtId="0" fontId="16" fillId="0" borderId="0" xfId="0" applyFont="1" applyBorder="1" applyAlignment="1">
      <alignment wrapText="1"/>
    </xf>
    <xf numFmtId="1" fontId="16" fillId="0" borderId="0" xfId="0" applyNumberFormat="1" applyFont="1" applyFill="1" applyBorder="1" applyAlignment="1">
      <alignment horizontal="right"/>
    </xf>
    <xf numFmtId="9" fontId="24" fillId="0" borderId="0" xfId="17" applyNumberFormat="1" applyFont="1" applyBorder="1" applyAlignment="1">
      <alignment horizontal="right"/>
    </xf>
    <xf numFmtId="166" fontId="24" fillId="0" borderId="0" xfId="17" applyNumberFormat="1" applyFont="1" applyBorder="1" applyAlignment="1">
      <alignment horizontal="right"/>
    </xf>
    <xf numFmtId="166" fontId="24" fillId="0" borderId="0" xfId="17" applyNumberFormat="1" applyFont="1" applyFill="1" applyBorder="1" applyAlignment="1">
      <alignment horizontal="right"/>
    </xf>
    <xf numFmtId="9" fontId="24" fillId="0" borderId="0" xfId="17" applyNumberFormat="1" applyFont="1" applyFill="1" applyBorder="1" applyAlignment="1">
      <alignment horizontal="right"/>
    </xf>
    <xf numFmtId="0" fontId="25" fillId="0" borderId="0" xfId="0" applyFont="1"/>
    <xf numFmtId="9" fontId="22" fillId="0" borderId="0" xfId="17" applyNumberFormat="1" applyFont="1" applyFill="1" applyBorder="1" applyAlignment="1">
      <alignment horizontal="right"/>
    </xf>
    <xf numFmtId="9" fontId="16" fillId="0" borderId="0" xfId="17" applyNumberFormat="1" applyFont="1" applyBorder="1" applyAlignment="1">
      <alignment horizontal="right"/>
    </xf>
    <xf numFmtId="167" fontId="16" fillId="0" borderId="0" xfId="0" applyNumberFormat="1" applyFont="1" applyFill="1" applyBorder="1" applyAlignment="1">
      <alignment horizontal="right"/>
    </xf>
    <xf numFmtId="0" fontId="17" fillId="0" borderId="0" xfId="0" applyFont="1" applyFill="1" applyBorder="1"/>
    <xf numFmtId="0" fontId="13" fillId="0" borderId="0" xfId="0" applyFont="1" applyFill="1"/>
    <xf numFmtId="0" fontId="26" fillId="0" borderId="0" xfId="0" applyFont="1"/>
    <xf numFmtId="0" fontId="13" fillId="0" borderId="0" xfId="0" applyFont="1" applyBorder="1"/>
    <xf numFmtId="167" fontId="16" fillId="0" borderId="0" xfId="0" applyNumberFormat="1" applyFont="1" applyBorder="1" applyAlignment="1">
      <alignment horizontal="right"/>
    </xf>
    <xf numFmtId="1" fontId="16" fillId="0" borderId="2" xfId="0" applyNumberFormat="1" applyFont="1" applyFill="1" applyBorder="1" applyAlignment="1">
      <alignment horizontal="right"/>
    </xf>
    <xf numFmtId="0" fontId="27" fillId="0" borderId="0" xfId="0" applyFont="1"/>
    <xf numFmtId="0" fontId="28" fillId="2" borderId="3" xfId="0" applyFont="1" applyFill="1" applyBorder="1" applyAlignment="1">
      <alignment horizontal="center" vertical="center"/>
    </xf>
    <xf numFmtId="0" fontId="14" fillId="0" borderId="3" xfId="0" applyFont="1" applyFill="1" applyBorder="1" applyAlignment="1">
      <alignment horizontal="right"/>
    </xf>
    <xf numFmtId="0" fontId="15" fillId="0" borderId="3" xfId="0" applyFont="1" applyFill="1" applyBorder="1" applyAlignment="1">
      <alignment horizontal="right"/>
    </xf>
    <xf numFmtId="173" fontId="16" fillId="0" borderId="0" xfId="15" applyNumberFormat="1" applyFont="1" applyBorder="1" applyAlignment="1">
      <alignment horizontal="center"/>
    </xf>
    <xf numFmtId="173" fontId="16" fillId="0" borderId="0" xfId="15" applyNumberFormat="1" applyFont="1" applyFill="1" applyBorder="1" applyAlignment="1">
      <alignment horizontal="center"/>
    </xf>
    <xf numFmtId="173" fontId="15" fillId="0" borderId="4" xfId="15" applyNumberFormat="1" applyFont="1" applyFill="1" applyBorder="1"/>
    <xf numFmtId="3" fontId="15" fillId="0" borderId="4" xfId="15" applyNumberFormat="1" applyFont="1" applyFill="1" applyBorder="1"/>
    <xf numFmtId="173" fontId="15" fillId="0" borderId="0" xfId="15" applyNumberFormat="1" applyFont="1" applyFill="1" applyBorder="1"/>
    <xf numFmtId="3" fontId="15" fillId="0" borderId="0" xfId="15" applyNumberFormat="1" applyFont="1" applyFill="1" applyBorder="1"/>
    <xf numFmtId="0" fontId="16" fillId="2" borderId="0" xfId="15" applyFont="1" applyFill="1" applyBorder="1"/>
    <xf numFmtId="3" fontId="16" fillId="2" borderId="0" xfId="15" applyNumberFormat="1" applyFont="1" applyFill="1" applyBorder="1"/>
    <xf numFmtId="3" fontId="16" fillId="0" borderId="0" xfId="15" applyNumberFormat="1" applyFont="1" applyFill="1" applyBorder="1"/>
    <xf numFmtId="0" fontId="13" fillId="0" borderId="0" xfId="0" applyFont="1" applyAlignment="1">
      <alignment horizontal="center"/>
    </xf>
    <xf numFmtId="173" fontId="16" fillId="0" borderId="0" xfId="15" applyNumberFormat="1" applyFont="1" applyBorder="1"/>
    <xf numFmtId="3" fontId="16" fillId="0" borderId="0" xfId="15" applyNumberFormat="1" applyFont="1" applyBorder="1"/>
    <xf numFmtId="173" fontId="15" fillId="0" borderId="4" xfId="15" applyNumberFormat="1" applyFont="1" applyBorder="1"/>
    <xf numFmtId="3" fontId="15" fillId="0" borderId="4" xfId="15" applyNumberFormat="1" applyFont="1" applyBorder="1"/>
    <xf numFmtId="173" fontId="16" fillId="0" borderId="0" xfId="15" applyNumberFormat="1" applyFont="1" applyFill="1" applyBorder="1"/>
    <xf numFmtId="173" fontId="15" fillId="0" borderId="5" xfId="15" applyNumberFormat="1" applyFont="1" applyFill="1" applyBorder="1"/>
    <xf numFmtId="3" fontId="15" fillId="0" borderId="5" xfId="15" applyNumberFormat="1" applyFont="1" applyFill="1" applyBorder="1"/>
    <xf numFmtId="173" fontId="15" fillId="0" borderId="6" xfId="15" applyNumberFormat="1" applyFont="1" applyFill="1" applyBorder="1"/>
    <xf numFmtId="3" fontId="15" fillId="0" borderId="6" xfId="15" applyNumberFormat="1" applyFont="1" applyFill="1" applyBorder="1"/>
    <xf numFmtId="173" fontId="16" fillId="2" borderId="0" xfId="15" applyNumberFormat="1" applyFont="1" applyFill="1" applyBorder="1"/>
    <xf numFmtId="173" fontId="15" fillId="0" borderId="4" xfId="15" applyNumberFormat="1" applyFont="1" applyFill="1" applyBorder="1" applyAlignment="1">
      <alignment wrapText="1"/>
    </xf>
    <xf numFmtId="3" fontId="15" fillId="0" borderId="4" xfId="15" applyNumberFormat="1" applyFont="1" applyFill="1" applyBorder="1" applyAlignment="1">
      <alignment wrapText="1"/>
    </xf>
    <xf numFmtId="173" fontId="15" fillId="0" borderId="7" xfId="15" applyNumberFormat="1" applyFont="1" applyBorder="1"/>
    <xf numFmtId="3" fontId="15" fillId="0" borderId="7" xfId="15" applyNumberFormat="1" applyFont="1" applyFill="1" applyBorder="1"/>
    <xf numFmtId="3" fontId="15" fillId="0" borderId="7" xfId="15" applyNumberFormat="1" applyFont="1" applyBorder="1"/>
    <xf numFmtId="9" fontId="15" fillId="0" borderId="8" xfId="17" applyFont="1" applyBorder="1" applyAlignment="1">
      <alignment vertical="center" wrapText="1"/>
    </xf>
    <xf numFmtId="9" fontId="15" fillId="0" borderId="8" xfId="17" applyFont="1" applyFill="1" applyBorder="1" applyAlignment="1">
      <alignment vertical="center" wrapText="1"/>
    </xf>
    <xf numFmtId="9" fontId="16" fillId="0" borderId="0" xfId="17" applyFont="1"/>
    <xf numFmtId="0" fontId="15" fillId="0" borderId="8" xfId="0" applyFont="1" applyBorder="1" applyAlignment="1">
      <alignment vertical="center" wrapText="1"/>
    </xf>
    <xf numFmtId="168" fontId="15" fillId="0" borderId="8" xfId="0" applyNumberFormat="1" applyFont="1" applyBorder="1" applyAlignment="1">
      <alignment vertical="center" wrapText="1"/>
    </xf>
    <xf numFmtId="168" fontId="15" fillId="0" borderId="8" xfId="0" applyNumberFormat="1" applyFont="1" applyFill="1" applyBorder="1" applyAlignment="1">
      <alignment vertical="center" wrapText="1"/>
    </xf>
    <xf numFmtId="0" fontId="16" fillId="0" borderId="0" xfId="0" applyFont="1"/>
    <xf numFmtId="170" fontId="15" fillId="0" borderId="8" xfId="0" applyNumberFormat="1" applyFont="1" applyBorder="1" applyAlignment="1">
      <alignment vertical="center" wrapText="1"/>
    </xf>
    <xf numFmtId="170" fontId="15" fillId="0" borderId="8" xfId="0" applyNumberFormat="1" applyFont="1" applyBorder="1" applyAlignment="1">
      <alignment horizontal="right" vertical="center" wrapText="1"/>
    </xf>
    <xf numFmtId="170" fontId="15" fillId="0" borderId="8" xfId="0" applyNumberFormat="1" applyFont="1" applyFill="1" applyBorder="1" applyAlignment="1">
      <alignment horizontal="right" vertical="center" wrapText="1"/>
    </xf>
    <xf numFmtId="0" fontId="16" fillId="0" borderId="0" xfId="0" applyFont="1" applyBorder="1" applyAlignment="1">
      <alignment horizontal="center"/>
    </xf>
    <xf numFmtId="0" fontId="29" fillId="0" borderId="0" xfId="0" applyFont="1"/>
    <xf numFmtId="0" fontId="13" fillId="0" borderId="0" xfId="0" applyFont="1" applyBorder="1" applyAlignment="1">
      <alignment horizontal="center"/>
    </xf>
    <xf numFmtId="0" fontId="14" fillId="0" borderId="3" xfId="0" applyFont="1" applyBorder="1" applyAlignment="1">
      <alignment horizontal="right"/>
    </xf>
    <xf numFmtId="0" fontId="15" fillId="0" borderId="3" xfId="0" applyFont="1" applyBorder="1" applyAlignment="1">
      <alignment horizontal="right"/>
    </xf>
    <xf numFmtId="0" fontId="30" fillId="2" borderId="0" xfId="16" applyFont="1" applyFill="1" applyAlignment="1">
      <alignment wrapText="1"/>
    </xf>
    <xf numFmtId="0" fontId="31" fillId="2" borderId="0" xfId="0" applyFont="1" applyFill="1" applyAlignment="1"/>
    <xf numFmtId="0" fontId="15" fillId="2" borderId="0" xfId="16" applyFont="1" applyFill="1" applyAlignment="1">
      <alignment wrapText="1"/>
    </xf>
    <xf numFmtId="0" fontId="15" fillId="0" borderId="0" xfId="16" applyFont="1" applyFill="1" applyAlignment="1">
      <alignment wrapText="1"/>
    </xf>
    <xf numFmtId="0" fontId="31" fillId="0" borderId="0" xfId="0" applyFont="1"/>
    <xf numFmtId="0" fontId="30" fillId="2" borderId="5" xfId="0" applyFont="1" applyFill="1" applyBorder="1" applyAlignment="1"/>
    <xf numFmtId="3" fontId="30" fillId="2" borderId="5" xfId="0" applyNumberFormat="1" applyFont="1" applyFill="1" applyBorder="1" applyAlignment="1">
      <alignment horizontal="right" vertical="center" wrapText="1"/>
    </xf>
    <xf numFmtId="3" fontId="15" fillId="2" borderId="5" xfId="0" applyNumberFormat="1" applyFont="1" applyFill="1" applyBorder="1" applyAlignment="1">
      <alignment horizontal="right" vertical="center" wrapText="1"/>
    </xf>
    <xf numFmtId="3" fontId="15" fillId="0" borderId="5" xfId="0" applyNumberFormat="1" applyFont="1" applyFill="1" applyBorder="1" applyAlignment="1">
      <alignment horizontal="right" vertical="center" wrapText="1"/>
    </xf>
    <xf numFmtId="0" fontId="30" fillId="2" borderId="5" xfId="0" applyFont="1" applyFill="1" applyBorder="1" applyAlignment="1">
      <alignment vertical="center" wrapText="1"/>
    </xf>
    <xf numFmtId="3" fontId="31" fillId="2" borderId="0" xfId="0" applyNumberFormat="1" applyFont="1" applyFill="1" applyAlignment="1">
      <alignment horizontal="right" vertical="center" wrapText="1"/>
    </xf>
    <xf numFmtId="3" fontId="16" fillId="2" borderId="0" xfId="0" applyNumberFormat="1" applyFont="1" applyFill="1" applyAlignment="1">
      <alignment horizontal="right" vertical="center" wrapText="1"/>
    </xf>
    <xf numFmtId="3" fontId="16" fillId="0" borderId="0" xfId="0" applyNumberFormat="1" applyFont="1" applyFill="1" applyAlignment="1">
      <alignment horizontal="right" vertical="center" wrapText="1"/>
    </xf>
    <xf numFmtId="0" fontId="31" fillId="0" borderId="0" xfId="0" applyFont="1" applyAlignment="1">
      <alignment horizontal="left"/>
    </xf>
    <xf numFmtId="0" fontId="16" fillId="0" borderId="0" xfId="0" applyFont="1" applyAlignment="1">
      <alignment horizontal="center"/>
    </xf>
    <xf numFmtId="0" fontId="16" fillId="0" borderId="0" xfId="0" applyFont="1" applyFill="1"/>
    <xf numFmtId="0" fontId="31" fillId="0" borderId="0" xfId="0" applyFont="1" applyFill="1" applyBorder="1" applyAlignment="1">
      <alignment horizontal="left" vertical="center"/>
    </xf>
    <xf numFmtId="3" fontId="31"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0" fontId="16" fillId="0" borderId="0" xfId="0" applyFont="1" applyFill="1" applyBorder="1" applyAlignment="1">
      <alignment horizontal="left" vertical="center"/>
    </xf>
    <xf numFmtId="0" fontId="15" fillId="0" borderId="0" xfId="0" applyFont="1"/>
    <xf numFmtId="0" fontId="30" fillId="0" borderId="0" xfId="0" applyFont="1" applyFill="1" applyBorder="1" applyAlignment="1">
      <alignment horizontal="left" vertical="center"/>
    </xf>
    <xf numFmtId="3" fontId="30" fillId="0" borderId="0"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0" fontId="32" fillId="0" borderId="0" xfId="0" applyFont="1"/>
    <xf numFmtId="0" fontId="30" fillId="0" borderId="0" xfId="0" applyFont="1" applyFill="1" applyBorder="1" applyAlignment="1">
      <alignment vertical="center"/>
    </xf>
    <xf numFmtId="0" fontId="33" fillId="0" borderId="4" xfId="0" applyFont="1" applyFill="1" applyBorder="1" applyAlignment="1">
      <alignment vertical="center" wrapText="1"/>
    </xf>
    <xf numFmtId="3" fontId="33" fillId="0" borderId="4"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0" fontId="33" fillId="0" borderId="0" xfId="0" applyFont="1" applyFill="1" applyBorder="1" applyAlignment="1">
      <alignment vertical="center" wrapText="1"/>
    </xf>
    <xf numFmtId="3" fontId="33" fillId="0" borderId="0" xfId="0" applyNumberFormat="1" applyFont="1" applyFill="1" applyBorder="1" applyAlignment="1">
      <alignment horizontal="right" vertical="center" wrapText="1"/>
    </xf>
    <xf numFmtId="3" fontId="28" fillId="0" borderId="0" xfId="0" applyNumberFormat="1" applyFont="1" applyFill="1" applyBorder="1" applyAlignment="1">
      <alignment horizontal="right" vertical="center" wrapText="1"/>
    </xf>
    <xf numFmtId="0" fontId="30" fillId="0" borderId="0" xfId="16" applyFont="1" applyFill="1" applyBorder="1" applyAlignment="1">
      <alignment vertical="center" wrapText="1"/>
    </xf>
    <xf numFmtId="3" fontId="30" fillId="0" borderId="0" xfId="16" applyNumberFormat="1" applyFont="1" applyFill="1" applyBorder="1" applyAlignment="1">
      <alignment horizontal="right" vertical="center" wrapText="1"/>
    </xf>
    <xf numFmtId="3" fontId="15" fillId="0" borderId="0" xfId="16" applyNumberFormat="1" applyFont="1" applyFill="1" applyBorder="1" applyAlignment="1">
      <alignment horizontal="right" vertical="center" wrapText="1"/>
    </xf>
    <xf numFmtId="0" fontId="31" fillId="0" borderId="0" xfId="16" applyFont="1" applyFill="1" applyBorder="1" applyAlignment="1">
      <alignment horizontal="left" vertical="center" wrapText="1"/>
    </xf>
    <xf numFmtId="3" fontId="31" fillId="0" borderId="0" xfId="16" applyNumberFormat="1" applyFont="1" applyFill="1" applyBorder="1" applyAlignment="1">
      <alignment horizontal="right" vertical="center" wrapText="1"/>
    </xf>
    <xf numFmtId="3" fontId="16" fillId="0" borderId="0" xfId="16" applyNumberFormat="1" applyFont="1" applyFill="1" applyBorder="1" applyAlignment="1">
      <alignment horizontal="right" vertical="center" wrapText="1"/>
    </xf>
    <xf numFmtId="0" fontId="18" fillId="0" borderId="0" xfId="0" applyFont="1"/>
    <xf numFmtId="0" fontId="31" fillId="0" borderId="0" xfId="16" applyFont="1" applyFill="1" applyBorder="1" applyAlignment="1">
      <alignment horizontal="left" vertical="center"/>
    </xf>
    <xf numFmtId="0" fontId="33" fillId="0" borderId="4" xfId="16" applyFont="1" applyFill="1" applyBorder="1" applyAlignment="1">
      <alignment vertical="center" wrapText="1"/>
    </xf>
    <xf numFmtId="3" fontId="33" fillId="0" borderId="4" xfId="16" applyNumberFormat="1" applyFont="1" applyFill="1" applyBorder="1" applyAlignment="1">
      <alignment horizontal="right" vertical="center" wrapText="1"/>
    </xf>
    <xf numFmtId="3" fontId="28" fillId="0" borderId="4" xfId="16" applyNumberFormat="1" applyFont="1" applyFill="1" applyBorder="1" applyAlignment="1">
      <alignment horizontal="right" vertical="center" wrapText="1"/>
    </xf>
    <xf numFmtId="0" fontId="30" fillId="0" borderId="0" xfId="16" applyFont="1" applyFill="1" applyBorder="1" applyAlignment="1">
      <alignment vertical="center"/>
    </xf>
    <xf numFmtId="3" fontId="30" fillId="0" borderId="0" xfId="16" applyNumberFormat="1" applyFont="1" applyFill="1" applyBorder="1" applyAlignment="1">
      <alignment vertical="center" wrapText="1"/>
    </xf>
    <xf numFmtId="0" fontId="33" fillId="0" borderId="4" xfId="16" applyFont="1" applyFill="1" applyBorder="1" applyAlignment="1">
      <alignment horizontal="left" vertical="center" wrapText="1"/>
    </xf>
    <xf numFmtId="0" fontId="30" fillId="0" borderId="4" xfId="0" applyFont="1" applyFill="1" applyBorder="1" applyAlignment="1">
      <alignment vertical="center" wrapText="1"/>
    </xf>
    <xf numFmtId="3" fontId="30" fillId="0" borderId="4" xfId="0" applyNumberFormat="1" applyFont="1" applyFill="1" applyBorder="1" applyAlignment="1">
      <alignment horizontal="right" vertical="center" wrapText="1"/>
    </xf>
    <xf numFmtId="3" fontId="15" fillId="0" borderId="4" xfId="0" applyNumberFormat="1" applyFont="1" applyFill="1" applyBorder="1" applyAlignment="1">
      <alignment horizontal="right" vertical="center" wrapText="1"/>
    </xf>
    <xf numFmtId="0" fontId="31" fillId="0" borderId="0" xfId="0" applyFont="1" applyFill="1" applyBorder="1" applyAlignment="1">
      <alignment vertical="center"/>
    </xf>
    <xf numFmtId="0" fontId="31" fillId="0" borderId="5" xfId="0" applyFont="1" applyFill="1" applyBorder="1" applyAlignment="1">
      <alignment vertical="center" wrapText="1"/>
    </xf>
    <xf numFmtId="3" fontId="31" fillId="0" borderId="5" xfId="0" applyNumberFormat="1" applyFont="1" applyFill="1" applyBorder="1" applyAlignment="1">
      <alignment horizontal="right" vertical="center" wrapText="1"/>
    </xf>
    <xf numFmtId="3" fontId="16" fillId="0" borderId="5" xfId="0" applyNumberFormat="1" applyFont="1" applyFill="1" applyBorder="1" applyAlignment="1">
      <alignment horizontal="right" vertical="center" wrapText="1"/>
    </xf>
    <xf numFmtId="0" fontId="31" fillId="0" borderId="6" xfId="0" applyFont="1" applyFill="1" applyBorder="1" applyAlignment="1">
      <alignment vertical="center" wrapText="1"/>
    </xf>
    <xf numFmtId="3" fontId="31" fillId="0" borderId="6" xfId="0" applyNumberFormat="1" applyFont="1" applyFill="1" applyBorder="1" applyAlignment="1">
      <alignment horizontal="right" vertical="center" wrapText="1"/>
    </xf>
    <xf numFmtId="3" fontId="16" fillId="0" borderId="6" xfId="0" applyNumberFormat="1" applyFont="1" applyFill="1" applyBorder="1" applyAlignment="1">
      <alignment horizontal="right" vertical="center" wrapText="1"/>
    </xf>
    <xf numFmtId="0" fontId="30" fillId="0" borderId="7" xfId="0" applyFont="1" applyFill="1" applyBorder="1" applyAlignment="1">
      <alignment vertical="center" wrapText="1"/>
    </xf>
    <xf numFmtId="3" fontId="30" fillId="0" borderId="7" xfId="0" applyNumberFormat="1" applyFont="1" applyFill="1" applyBorder="1" applyAlignment="1">
      <alignment horizontal="right" vertical="center" wrapText="1"/>
    </xf>
    <xf numFmtId="3" fontId="15" fillId="0" borderId="7" xfId="0" applyNumberFormat="1" applyFont="1" applyFill="1" applyBorder="1" applyAlignment="1">
      <alignment horizontal="right" vertical="center" wrapText="1"/>
    </xf>
    <xf numFmtId="0" fontId="34" fillId="0" borderId="0" xfId="0" applyFont="1" applyBorder="1" applyAlignment="1">
      <alignment wrapText="1"/>
    </xf>
    <xf numFmtId="0" fontId="35" fillId="0" borderId="0" xfId="0" applyFont="1" applyBorder="1"/>
    <xf numFmtId="0" fontId="35" fillId="0" borderId="0" xfId="0" applyFont="1" applyFill="1" applyBorder="1"/>
    <xf numFmtId="0" fontId="28" fillId="2" borderId="7" xfId="0" applyFont="1" applyFill="1" applyBorder="1" applyAlignment="1">
      <alignment horizontal="center" vertical="center"/>
    </xf>
    <xf numFmtId="0" fontId="16"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Fill="1" applyBorder="1" applyAlignment="1">
      <alignment vertical="center" wrapText="1"/>
    </xf>
    <xf numFmtId="174" fontId="14" fillId="0" borderId="3" xfId="0" applyNumberFormat="1" applyFont="1" applyFill="1" applyBorder="1" applyAlignment="1">
      <alignment horizontal="right"/>
    </xf>
    <xf numFmtId="174" fontId="15" fillId="0" borderId="3" xfId="0" applyNumberFormat="1" applyFont="1" applyFill="1" applyBorder="1" applyAlignment="1">
      <alignment horizontal="right"/>
    </xf>
    <xf numFmtId="0" fontId="15" fillId="0" borderId="9" xfId="0" applyFont="1" applyFill="1" applyBorder="1" applyAlignment="1">
      <alignment vertical="center" wrapText="1"/>
    </xf>
    <xf numFmtId="3" fontId="15" fillId="0" borderId="9" xfId="0" applyNumberFormat="1" applyFont="1" applyFill="1" applyBorder="1" applyAlignment="1">
      <alignment horizontal="right" vertical="center"/>
    </xf>
    <xf numFmtId="0" fontId="16" fillId="0" borderId="0" xfId="0" applyFont="1" applyBorder="1" applyAlignment="1">
      <alignment horizontal="left" vertical="center" wrapText="1" indent="2"/>
    </xf>
    <xf numFmtId="3" fontId="16" fillId="0" borderId="0" xfId="0" applyNumberFormat="1" applyFont="1" applyBorder="1" applyAlignment="1">
      <alignment horizontal="right" vertical="center"/>
    </xf>
    <xf numFmtId="3" fontId="16"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indent="2"/>
    </xf>
    <xf numFmtId="165" fontId="16" fillId="0" borderId="0" xfId="0" applyNumberFormat="1" applyFont="1" applyFill="1" applyBorder="1" applyAlignment="1">
      <alignment horizontal="right" wrapText="1"/>
    </xf>
    <xf numFmtId="0" fontId="16" fillId="0" borderId="0" xfId="0" applyFont="1" applyFill="1" applyBorder="1" applyAlignment="1">
      <alignment vertical="center" wrapText="1"/>
    </xf>
    <xf numFmtId="0" fontId="15" fillId="0" borderId="5" xfId="0" applyFont="1" applyFill="1" applyBorder="1" applyAlignment="1">
      <alignment vertical="center" wrapText="1"/>
    </xf>
    <xf numFmtId="3" fontId="15" fillId="0" borderId="5" xfId="0" applyNumberFormat="1" applyFont="1" applyFill="1" applyBorder="1" applyAlignment="1">
      <alignment horizontal="right" vertical="center"/>
    </xf>
    <xf numFmtId="3" fontId="15" fillId="0" borderId="8" xfId="0" applyNumberFormat="1" applyFont="1" applyBorder="1" applyAlignment="1">
      <alignment horizontal="right" vertical="center"/>
    </xf>
    <xf numFmtId="3" fontId="15" fillId="0" borderId="8" xfId="0" applyNumberFormat="1" applyFont="1" applyFill="1" applyBorder="1" applyAlignment="1">
      <alignment horizontal="right" vertical="center"/>
    </xf>
    <xf numFmtId="3" fontId="15" fillId="0" borderId="0" xfId="0" applyNumberFormat="1" applyFont="1" applyBorder="1" applyAlignment="1">
      <alignment horizontal="right" vertical="center"/>
    </xf>
    <xf numFmtId="3" fontId="15" fillId="0" borderId="0" xfId="0" applyNumberFormat="1" applyFont="1" applyFill="1" applyBorder="1" applyAlignment="1">
      <alignment horizontal="right" vertical="center"/>
    </xf>
    <xf numFmtId="0" fontId="15" fillId="0" borderId="5" xfId="0" applyFont="1" applyBorder="1" applyAlignment="1">
      <alignment vertical="center" wrapText="1"/>
    </xf>
    <xf numFmtId="3" fontId="15" fillId="0" borderId="5" xfId="0" applyNumberFormat="1" applyFont="1" applyBorder="1" applyAlignment="1">
      <alignment horizontal="right" vertical="center"/>
    </xf>
    <xf numFmtId="0" fontId="15" fillId="0" borderId="4" xfId="0" applyFont="1" applyBorder="1" applyAlignment="1">
      <alignment vertical="center" wrapText="1"/>
    </xf>
    <xf numFmtId="3" fontId="15" fillId="0" borderId="4" xfId="0" applyNumberFormat="1" applyFont="1" applyBorder="1" applyAlignment="1">
      <alignment horizontal="right" vertical="center"/>
    </xf>
    <xf numFmtId="3" fontId="15" fillId="0" borderId="4" xfId="0" applyNumberFormat="1" applyFont="1" applyFill="1" applyBorder="1" applyAlignment="1">
      <alignment horizontal="right" vertical="center"/>
    </xf>
    <xf numFmtId="0" fontId="15" fillId="0" borderId="4" xfId="0" applyFont="1" applyFill="1" applyBorder="1" applyAlignment="1">
      <alignment vertical="center" wrapText="1"/>
    </xf>
    <xf numFmtId="0" fontId="36" fillId="0" borderId="0" xfId="0" applyFont="1" applyBorder="1" applyAlignment="1">
      <alignment vertical="center" wrapText="1"/>
    </xf>
    <xf numFmtId="3" fontId="36" fillId="0" borderId="0" xfId="0" applyNumberFormat="1" applyFont="1" applyBorder="1" applyAlignment="1">
      <alignment horizontal="right" vertical="center"/>
    </xf>
    <xf numFmtId="3" fontId="16" fillId="0" borderId="0" xfId="0" applyNumberFormat="1" applyFont="1" applyAlignment="1">
      <alignment horizontal="right"/>
    </xf>
    <xf numFmtId="3" fontId="16" fillId="0" borderId="0" xfId="0" applyNumberFormat="1" applyFont="1" applyFill="1" applyAlignment="1">
      <alignment horizontal="right"/>
    </xf>
    <xf numFmtId="0" fontId="16" fillId="0" borderId="0" xfId="0" applyFont="1" applyFill="1" applyBorder="1" applyAlignment="1">
      <alignment horizontal="center"/>
    </xf>
    <xf numFmtId="3" fontId="16" fillId="0" borderId="0" xfId="0" applyNumberFormat="1" applyFont="1" applyAlignment="1">
      <alignment horizontal="center"/>
    </xf>
    <xf numFmtId="3" fontId="16"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0" fontId="37" fillId="0" borderId="0" xfId="0" applyFont="1"/>
    <xf numFmtId="0" fontId="38" fillId="0" borderId="0" xfId="0" applyFont="1" applyFill="1"/>
    <xf numFmtId="0" fontId="38" fillId="0" borderId="0" xfId="0" applyFont="1"/>
    <xf numFmtId="0" fontId="38" fillId="0" borderId="0" xfId="0" applyFont="1" applyBorder="1"/>
    <xf numFmtId="0" fontId="15" fillId="0" borderId="1" xfId="0" applyFont="1" applyFill="1" applyBorder="1" applyAlignment="1">
      <alignment horizontal="left"/>
    </xf>
    <xf numFmtId="0" fontId="17" fillId="0" borderId="0" xfId="0" applyFont="1" applyBorder="1" applyAlignment="1">
      <alignment horizontal="right"/>
    </xf>
    <xf numFmtId="0" fontId="16" fillId="0" borderId="2" xfId="0" applyFont="1" applyBorder="1"/>
    <xf numFmtId="9" fontId="16" fillId="0" borderId="2" xfId="17" applyNumberFormat="1" applyFont="1" applyBorder="1" applyAlignment="1">
      <alignment horizontal="right"/>
    </xf>
    <xf numFmtId="1" fontId="17" fillId="0" borderId="0" xfId="0" applyNumberFormat="1" applyFont="1" applyBorder="1" applyAlignment="1">
      <alignment horizontal="right"/>
    </xf>
    <xf numFmtId="0" fontId="16" fillId="0" borderId="2" xfId="0" applyFont="1" applyFill="1" applyBorder="1"/>
    <xf numFmtId="0" fontId="16" fillId="0" borderId="0" xfId="0" applyFont="1" applyBorder="1" applyAlignment="1">
      <alignment horizontal="left"/>
    </xf>
    <xf numFmtId="9" fontId="16" fillId="0" borderId="0" xfId="17" applyFont="1" applyBorder="1" applyAlignment="1">
      <alignment horizontal="right"/>
    </xf>
    <xf numFmtId="169" fontId="16" fillId="0" borderId="0" xfId="0" applyNumberFormat="1" applyFont="1" applyBorder="1" applyAlignment="1">
      <alignment horizontal="right"/>
    </xf>
    <xf numFmtId="0" fontId="16" fillId="0" borderId="0" xfId="0" applyFont="1" applyBorder="1" applyAlignment="1">
      <alignment horizontal="right"/>
    </xf>
    <xf numFmtId="0" fontId="16" fillId="0" borderId="0" xfId="0" applyFont="1" applyFill="1" applyBorder="1" applyAlignment="1">
      <alignment horizontal="right"/>
    </xf>
    <xf numFmtId="0" fontId="15" fillId="0" borderId="1" xfId="0" applyFont="1" applyFill="1" applyBorder="1"/>
    <xf numFmtId="0" fontId="16" fillId="0" borderId="10" xfId="0" applyFont="1" applyBorder="1"/>
    <xf numFmtId="167" fontId="16" fillId="0" borderId="10" xfId="0" applyNumberFormat="1" applyFont="1" applyBorder="1" applyAlignment="1">
      <alignment horizontal="right"/>
    </xf>
    <xf numFmtId="3" fontId="16" fillId="0" borderId="0" xfId="17" applyNumberFormat="1" applyFont="1" applyBorder="1" applyAlignment="1">
      <alignment horizontal="right"/>
    </xf>
    <xf numFmtId="3" fontId="16" fillId="0" borderId="0" xfId="17" applyNumberFormat="1" applyFont="1" applyFill="1" applyBorder="1" applyAlignment="1">
      <alignment horizontal="right"/>
    </xf>
    <xf numFmtId="172" fontId="16" fillId="0" borderId="0" xfId="0" applyNumberFormat="1" applyFont="1" applyBorder="1" applyAlignment="1">
      <alignment horizontal="right"/>
    </xf>
    <xf numFmtId="0" fontId="13" fillId="0" borderId="0" xfId="0" applyFont="1" applyBorder="1" applyAlignment="1">
      <alignment horizontal="left"/>
    </xf>
    <xf numFmtId="0" fontId="16" fillId="0" borderId="0" xfId="0" applyFont="1" applyFill="1" applyBorder="1"/>
    <xf numFmtId="0" fontId="39" fillId="0" borderId="0" xfId="0" applyFont="1" applyFill="1" applyBorder="1"/>
    <xf numFmtId="0" fontId="40" fillId="0" borderId="0" xfId="0" applyFont="1" applyFill="1"/>
    <xf numFmtId="0" fontId="40" fillId="0" borderId="0" xfId="0" applyFont="1"/>
    <xf numFmtId="0" fontId="40" fillId="0" borderId="0" xfId="0" applyFont="1" applyBorder="1"/>
    <xf numFmtId="9" fontId="39" fillId="0" borderId="0" xfId="17" applyNumberFormat="1" applyFont="1" applyBorder="1" applyAlignment="1">
      <alignment horizontal="center"/>
    </xf>
    <xf numFmtId="0" fontId="41" fillId="0" borderId="0" xfId="0" applyFont="1"/>
    <xf numFmtId="0" fontId="42" fillId="0" borderId="0" xfId="0" applyFont="1" applyFill="1" applyBorder="1"/>
    <xf numFmtId="9" fontId="42" fillId="0" borderId="0" xfId="17" applyNumberFormat="1" applyFont="1" applyFill="1" applyBorder="1" applyAlignment="1">
      <alignment horizontal="left"/>
    </xf>
    <xf numFmtId="9" fontId="42" fillId="0" borderId="0" xfId="17" applyNumberFormat="1" applyFont="1" applyFill="1" applyBorder="1" applyAlignment="1">
      <alignment horizontal="center"/>
    </xf>
    <xf numFmtId="9" fontId="39" fillId="0" borderId="0" xfId="17" applyNumberFormat="1" applyFont="1" applyFill="1" applyBorder="1" applyAlignment="1">
      <alignment horizontal="center"/>
    </xf>
    <xf numFmtId="1" fontId="39" fillId="0" borderId="0" xfId="0" applyNumberFormat="1" applyFont="1" applyFill="1" applyBorder="1" applyAlignment="1">
      <alignment horizontal="center"/>
    </xf>
    <xf numFmtId="1" fontId="39" fillId="0" borderId="0" xfId="0" applyNumberFormat="1" applyFont="1" applyBorder="1" applyAlignment="1">
      <alignment horizontal="center"/>
    </xf>
    <xf numFmtId="0" fontId="37" fillId="0" borderId="0" xfId="0" applyFont="1" applyFill="1"/>
    <xf numFmtId="0" fontId="43" fillId="0" borderId="0" xfId="0" applyFont="1" applyFill="1"/>
    <xf numFmtId="0" fontId="43" fillId="0" borderId="0" xfId="0" applyFont="1" applyFill="1" applyBorder="1"/>
    <xf numFmtId="0" fontId="23" fillId="0" borderId="0" xfId="0" applyFont="1" applyFill="1"/>
    <xf numFmtId="3" fontId="19" fillId="0" borderId="0" xfId="17" applyNumberFormat="1" applyFont="1" applyBorder="1" applyAlignment="1">
      <alignment horizontal="right"/>
    </xf>
    <xf numFmtId="3" fontId="19" fillId="0" borderId="0" xfId="17" applyNumberFormat="1" applyFont="1" applyFill="1" applyBorder="1" applyAlignment="1">
      <alignment horizontal="right"/>
    </xf>
    <xf numFmtId="3" fontId="21" fillId="0" borderId="0" xfId="17" applyNumberFormat="1" applyFont="1" applyBorder="1" applyAlignment="1">
      <alignment horizontal="right"/>
    </xf>
    <xf numFmtId="9" fontId="44" fillId="0" borderId="0" xfId="17" applyFont="1" applyFill="1"/>
    <xf numFmtId="0" fontId="44" fillId="0" borderId="0" xfId="0" applyFont="1"/>
    <xf numFmtId="0" fontId="16" fillId="0" borderId="0" xfId="0" applyFont="1" applyBorder="1" applyAlignment="1">
      <alignment horizontal="left" indent="3"/>
    </xf>
    <xf numFmtId="0" fontId="13" fillId="3" borderId="0" xfId="0" applyFont="1" applyFill="1"/>
    <xf numFmtId="3" fontId="18" fillId="0" borderId="0" xfId="17" applyNumberFormat="1" applyFont="1" applyBorder="1" applyAlignment="1">
      <alignment horizontal="right"/>
    </xf>
    <xf numFmtId="3" fontId="18" fillId="0" borderId="0" xfId="17" applyNumberFormat="1" applyFont="1" applyFill="1" applyBorder="1" applyAlignment="1">
      <alignment horizontal="right"/>
    </xf>
    <xf numFmtId="9" fontId="16" fillId="0" borderId="0" xfId="17" applyFont="1" applyFill="1" applyBorder="1" applyAlignment="1">
      <alignment horizontal="right"/>
    </xf>
    <xf numFmtId="3" fontId="24" fillId="0" borderId="0" xfId="17" applyNumberFormat="1" applyFont="1" applyBorder="1" applyAlignment="1">
      <alignment horizontal="right"/>
    </xf>
    <xf numFmtId="3" fontId="24" fillId="0" borderId="0" xfId="17" applyNumberFormat="1" applyFont="1" applyFill="1" applyBorder="1" applyAlignment="1">
      <alignment horizontal="right"/>
    </xf>
    <xf numFmtId="9" fontId="17" fillId="0" borderId="0" xfId="17" applyFont="1" applyFill="1" applyBorder="1" applyAlignment="1">
      <alignment horizontal="right"/>
    </xf>
    <xf numFmtId="3" fontId="22" fillId="0" borderId="0"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2" xfId="0" applyNumberFormat="1" applyFont="1" applyBorder="1" applyAlignment="1">
      <alignment horizontal="right"/>
    </xf>
    <xf numFmtId="3" fontId="22" fillId="0" borderId="2" xfId="0" applyNumberFormat="1" applyFont="1" applyFill="1" applyBorder="1" applyAlignment="1">
      <alignment horizontal="right"/>
    </xf>
    <xf numFmtId="0" fontId="22" fillId="0" borderId="0" xfId="0" applyFont="1" applyFill="1" applyBorder="1"/>
    <xf numFmtId="0" fontId="45" fillId="0" borderId="0" xfId="0" applyFont="1" applyBorder="1"/>
    <xf numFmtId="9" fontId="17" fillId="0" borderId="0" xfId="17" applyNumberFormat="1" applyFont="1" applyFill="1" applyBorder="1" applyAlignment="1">
      <alignment horizontal="center"/>
    </xf>
    <xf numFmtId="9" fontId="17" fillId="0" borderId="0" xfId="17" applyNumberFormat="1" applyFont="1" applyBorder="1" applyAlignment="1">
      <alignment horizontal="center"/>
    </xf>
    <xf numFmtId="9" fontId="17" fillId="0" borderId="0" xfId="17" applyNumberFormat="1" applyFont="1" applyFill="1" applyBorder="1" applyAlignment="1">
      <alignment horizontal="left"/>
    </xf>
    <xf numFmtId="9" fontId="22" fillId="0" borderId="0" xfId="17" applyNumberFormat="1" applyFont="1" applyBorder="1" applyAlignment="1">
      <alignment horizontal="center"/>
    </xf>
    <xf numFmtId="9" fontId="22" fillId="0" borderId="0" xfId="17" applyNumberFormat="1" applyFont="1" applyFill="1" applyBorder="1" applyAlignment="1">
      <alignment horizontal="center"/>
    </xf>
    <xf numFmtId="1" fontId="17" fillId="0" borderId="0" xfId="0" applyNumberFormat="1" applyFont="1" applyFill="1" applyBorder="1" applyAlignment="1">
      <alignment horizontal="center"/>
    </xf>
    <xf numFmtId="1" fontId="17" fillId="0" borderId="0" xfId="0" applyNumberFormat="1" applyFont="1" applyBorder="1" applyAlignment="1">
      <alignment horizontal="center"/>
    </xf>
    <xf numFmtId="1" fontId="22" fillId="0" borderId="0" xfId="0" applyNumberFormat="1" applyFont="1" applyFill="1" applyBorder="1" applyAlignment="1">
      <alignment horizontal="center"/>
    </xf>
    <xf numFmtId="0" fontId="46" fillId="0" borderId="0" xfId="0" applyFont="1" applyFill="1"/>
    <xf numFmtId="0" fontId="46" fillId="0" borderId="0" xfId="0" applyFont="1" applyFill="1" applyBorder="1"/>
    <xf numFmtId="9" fontId="19" fillId="0" borderId="0" xfId="17" applyFont="1" applyFill="1" applyBorder="1" applyAlignment="1">
      <alignment horizontal="right"/>
    </xf>
    <xf numFmtId="3" fontId="21" fillId="0" borderId="0" xfId="17" applyNumberFormat="1" applyFont="1" applyFill="1" applyBorder="1" applyAlignment="1">
      <alignment horizontal="right"/>
    </xf>
    <xf numFmtId="0" fontId="18" fillId="0" borderId="0" xfId="0" applyFont="1" applyFill="1" applyBorder="1" applyAlignment="1">
      <alignment horizontal="right"/>
    </xf>
    <xf numFmtId="3" fontId="17" fillId="0" borderId="0" xfId="17" applyNumberFormat="1" applyFont="1" applyFill="1" applyBorder="1" applyAlignment="1">
      <alignment horizontal="right"/>
    </xf>
    <xf numFmtId="3" fontId="22" fillId="0" borderId="0" xfId="17" applyNumberFormat="1" applyFont="1" applyFill="1" applyBorder="1" applyAlignment="1">
      <alignment horizontal="right"/>
    </xf>
    <xf numFmtId="3" fontId="17" fillId="0" borderId="0" xfId="17" applyNumberFormat="1" applyFont="1" applyBorder="1" applyAlignment="1">
      <alignment horizontal="right"/>
    </xf>
    <xf numFmtId="3" fontId="22" fillId="0" borderId="0" xfId="17" applyNumberFormat="1" applyFont="1" applyBorder="1" applyAlignment="1">
      <alignment horizontal="right"/>
    </xf>
    <xf numFmtId="3" fontId="39" fillId="0" borderId="0" xfId="17" applyNumberFormat="1" applyFont="1" applyBorder="1" applyAlignment="1">
      <alignment horizontal="right"/>
    </xf>
    <xf numFmtId="3" fontId="39" fillId="0" borderId="0" xfId="17" applyNumberFormat="1" applyFont="1" applyFill="1" applyBorder="1" applyAlignment="1">
      <alignment horizontal="right"/>
    </xf>
    <xf numFmtId="9" fontId="17" fillId="0" borderId="0" xfId="0" applyNumberFormat="1" applyFont="1" applyFill="1" applyBorder="1" applyAlignment="1">
      <alignment horizontal="right"/>
    </xf>
    <xf numFmtId="0" fontId="1" fillId="4" borderId="0" xfId="2" applyFill="1"/>
    <xf numFmtId="0" fontId="1" fillId="5" borderId="0" xfId="2" applyFill="1"/>
    <xf numFmtId="0" fontId="47" fillId="5" borderId="0" xfId="2" applyFont="1" applyFill="1"/>
    <xf numFmtId="0" fontId="48" fillId="5" borderId="0" xfId="2" applyFont="1" applyFill="1"/>
    <xf numFmtId="0" fontId="13" fillId="5" borderId="0" xfId="2" applyFont="1" applyFill="1"/>
    <xf numFmtId="0" fontId="1" fillId="6" borderId="0" xfId="2" applyFill="1"/>
    <xf numFmtId="0" fontId="1" fillId="4" borderId="0" xfId="2" applyFont="1" applyFill="1"/>
    <xf numFmtId="49" fontId="1" fillId="4" borderId="0" xfId="2" applyNumberFormat="1" applyFont="1" applyFill="1"/>
    <xf numFmtId="3" fontId="23" fillId="0" borderId="0" xfId="0" applyNumberFormat="1" applyFont="1" applyFill="1"/>
    <xf numFmtId="9" fontId="16" fillId="0" borderId="0" xfId="17" applyFont="1" applyAlignment="1">
      <alignment horizontal="right"/>
    </xf>
    <xf numFmtId="0" fontId="14" fillId="0" borderId="0" xfId="0" applyFont="1" applyBorder="1" applyAlignment="1">
      <alignment horizontal="right"/>
    </xf>
    <xf numFmtId="165" fontId="16" fillId="0" borderId="0" xfId="0" applyNumberFormat="1" applyFont="1" applyFill="1" applyBorder="1" applyAlignment="1">
      <alignment horizontal="right"/>
    </xf>
    <xf numFmtId="0" fontId="13" fillId="0" borderId="0" xfId="2" applyFont="1"/>
    <xf numFmtId="0" fontId="46" fillId="0" borderId="0" xfId="2" applyFont="1"/>
    <xf numFmtId="0" fontId="14" fillId="0" borderId="1" xfId="2" applyFont="1" applyBorder="1"/>
    <xf numFmtId="0" fontId="16" fillId="0" borderId="0" xfId="2" applyFont="1" applyBorder="1"/>
    <xf numFmtId="3" fontId="16" fillId="0" borderId="0" xfId="2" applyNumberFormat="1" applyFont="1" applyFill="1" applyBorder="1" applyAlignment="1">
      <alignment horizontal="right" wrapText="1"/>
    </xf>
    <xf numFmtId="0" fontId="18" fillId="0" borderId="0" xfId="2" applyFont="1" applyBorder="1" applyAlignment="1">
      <alignment horizontal="right"/>
    </xf>
    <xf numFmtId="0" fontId="20" fillId="0" borderId="0" xfId="2" applyFont="1"/>
    <xf numFmtId="0" fontId="16" fillId="0" borderId="0" xfId="2" applyFont="1" applyBorder="1" applyAlignment="1">
      <alignment horizontal="left" indent="3"/>
    </xf>
    <xf numFmtId="0" fontId="17" fillId="0" borderId="0" xfId="2" applyFont="1" applyBorder="1"/>
    <xf numFmtId="0" fontId="15" fillId="0" borderId="1" xfId="2" applyFont="1" applyBorder="1"/>
    <xf numFmtId="0" fontId="16" fillId="0" borderId="0" xfId="2" applyFont="1" applyFill="1" applyBorder="1"/>
    <xf numFmtId="3" fontId="16" fillId="0" borderId="0" xfId="2" applyNumberFormat="1" applyFont="1" applyFill="1" applyBorder="1" applyAlignment="1">
      <alignment horizontal="right"/>
    </xf>
    <xf numFmtId="165" fontId="16" fillId="0" borderId="0" xfId="2" applyNumberFormat="1" applyFont="1" applyFill="1" applyBorder="1" applyAlignment="1">
      <alignment horizontal="right"/>
    </xf>
    <xf numFmtId="165" fontId="16" fillId="0" borderId="0" xfId="2" applyNumberFormat="1" applyFont="1" applyBorder="1" applyAlignment="1">
      <alignment horizontal="right"/>
    </xf>
    <xf numFmtId="1" fontId="17" fillId="0" borderId="2" xfId="2" applyNumberFormat="1" applyFont="1" applyBorder="1" applyAlignment="1">
      <alignment horizontal="center"/>
    </xf>
    <xf numFmtId="1" fontId="22" fillId="0" borderId="2" xfId="2" applyNumberFormat="1" applyFont="1" applyFill="1" applyBorder="1" applyAlignment="1">
      <alignment horizontal="right"/>
    </xf>
    <xf numFmtId="0" fontId="23" fillId="0" borderId="0" xfId="2" applyFont="1"/>
    <xf numFmtId="0" fontId="16" fillId="0" borderId="0" xfId="2" applyFont="1" applyBorder="1" applyAlignment="1">
      <alignment wrapText="1"/>
    </xf>
    <xf numFmtId="0" fontId="25" fillId="0" borderId="0" xfId="2" applyFont="1"/>
    <xf numFmtId="167" fontId="16" fillId="0" borderId="0" xfId="2" applyNumberFormat="1" applyFont="1" applyFill="1" applyBorder="1" applyAlignment="1">
      <alignment horizontal="right"/>
    </xf>
    <xf numFmtId="3" fontId="17" fillId="0" borderId="0" xfId="2" applyNumberFormat="1" applyFont="1" applyFill="1" applyBorder="1" applyAlignment="1">
      <alignment horizontal="right"/>
    </xf>
    <xf numFmtId="0" fontId="26" fillId="0" borderId="0" xfId="2" applyFont="1"/>
    <xf numFmtId="0" fontId="49" fillId="0" borderId="0" xfId="2" applyFont="1"/>
    <xf numFmtId="173" fontId="15" fillId="7" borderId="4" xfId="15" applyNumberFormat="1" applyFont="1" applyFill="1" applyBorder="1"/>
    <xf numFmtId="3" fontId="15" fillId="7" borderId="4" xfId="15" applyNumberFormat="1" applyFont="1" applyFill="1" applyBorder="1"/>
    <xf numFmtId="165" fontId="15" fillId="0" borderId="7" xfId="0" applyNumberFormat="1" applyFont="1" applyFill="1" applyBorder="1" applyAlignment="1">
      <alignment horizontal="right" vertical="center" wrapText="1"/>
    </xf>
    <xf numFmtId="0" fontId="46" fillId="0" borderId="0" xfId="0" applyFont="1"/>
    <xf numFmtId="9" fontId="18" fillId="0" borderId="0" xfId="17" applyNumberFormat="1" applyFont="1" applyBorder="1" applyAlignment="1">
      <alignment horizontal="right"/>
    </xf>
    <xf numFmtId="0" fontId="16" fillId="0" borderId="0" xfId="0" applyFont="1" applyBorder="1" applyAlignment="1">
      <alignment horizontal="left" indent="2"/>
    </xf>
    <xf numFmtId="3" fontId="50" fillId="0" borderId="0" xfId="17" applyNumberFormat="1" applyFont="1" applyFill="1" applyBorder="1" applyAlignment="1">
      <alignment horizontal="right"/>
    </xf>
    <xf numFmtId="9" fontId="50" fillId="0" borderId="0" xfId="17" applyNumberFormat="1" applyFont="1" applyFill="1" applyBorder="1" applyAlignment="1">
      <alignment horizontal="right"/>
    </xf>
    <xf numFmtId="9" fontId="18" fillId="0" borderId="0" xfId="17" applyNumberFormat="1" applyFont="1" applyFill="1" applyBorder="1" applyAlignment="1">
      <alignment horizontal="right"/>
    </xf>
    <xf numFmtId="0" fontId="20" fillId="0" borderId="0" xfId="0" applyFont="1" applyBorder="1"/>
    <xf numFmtId="9" fontId="21" fillId="0" borderId="0" xfId="17" applyNumberFormat="1" applyFont="1" applyFill="1" applyBorder="1" applyAlignment="1">
      <alignment horizontal="right"/>
    </xf>
    <xf numFmtId="0" fontId="17" fillId="0" borderId="2" xfId="0" applyFont="1" applyFill="1" applyBorder="1"/>
    <xf numFmtId="3" fontId="16" fillId="0" borderId="2" xfId="0" applyNumberFormat="1" applyFont="1" applyFill="1" applyBorder="1" applyAlignment="1">
      <alignment horizontal="right"/>
    </xf>
    <xf numFmtId="3" fontId="16" fillId="0" borderId="11" xfId="0" applyNumberFormat="1" applyFont="1" applyFill="1" applyBorder="1" applyAlignment="1">
      <alignment horizontal="right"/>
    </xf>
    <xf numFmtId="176" fontId="16" fillId="0" borderId="0" xfId="15" applyNumberFormat="1" applyFont="1" applyFill="1" applyBorder="1"/>
    <xf numFmtId="171" fontId="16" fillId="0" borderId="0" xfId="0" applyNumberFormat="1" applyFont="1" applyFill="1" applyBorder="1" applyAlignment="1">
      <alignment horizontal="right"/>
    </xf>
    <xf numFmtId="171" fontId="16" fillId="0" borderId="0" xfId="0" applyNumberFormat="1" applyFont="1" applyBorder="1" applyAlignment="1">
      <alignment horizontal="right"/>
    </xf>
    <xf numFmtId="2" fontId="16" fillId="0" borderId="0" xfId="0" applyNumberFormat="1" applyFont="1" applyBorder="1" applyAlignment="1">
      <alignment horizontal="right"/>
    </xf>
    <xf numFmtId="2" fontId="16" fillId="0" borderId="0" xfId="0" applyNumberFormat="1" applyFont="1" applyFill="1" applyBorder="1" applyAlignment="1">
      <alignment horizontal="right"/>
    </xf>
    <xf numFmtId="175" fontId="16" fillId="0" borderId="0" xfId="0" applyNumberFormat="1" applyFont="1" applyFill="1" applyBorder="1" applyAlignment="1">
      <alignment horizontal="right"/>
    </xf>
    <xf numFmtId="3" fontId="16" fillId="0" borderId="0" xfId="0" applyNumberFormat="1" applyFont="1"/>
    <xf numFmtId="0" fontId="17" fillId="0" borderId="0" xfId="0" applyFont="1" applyBorder="1" applyAlignment="1">
      <alignment wrapText="1"/>
    </xf>
    <xf numFmtId="0" fontId="18" fillId="0" borderId="0" xfId="0" applyFont="1" applyBorder="1" applyAlignment="1">
      <alignment horizontal="left" indent="2"/>
    </xf>
    <xf numFmtId="3" fontId="17" fillId="0" borderId="0" xfId="0" applyNumberFormat="1" applyFont="1" applyFill="1" applyBorder="1" applyAlignment="1">
      <alignment horizontal="right" vertical="center"/>
    </xf>
    <xf numFmtId="3" fontId="17" fillId="0" borderId="0" xfId="17" applyNumberFormat="1" applyFont="1" applyFill="1" applyBorder="1" applyAlignment="1">
      <alignment horizontal="right" vertical="center"/>
    </xf>
    <xf numFmtId="3" fontId="17" fillId="0" borderId="0" xfId="17" applyNumberFormat="1" applyFont="1" applyBorder="1" applyAlignment="1">
      <alignment horizontal="right" vertical="center"/>
    </xf>
    <xf numFmtId="3" fontId="22" fillId="0" borderId="0" xfId="0" applyNumberFormat="1" applyFont="1" applyFill="1" applyBorder="1" applyAlignment="1">
      <alignment horizontal="right" vertical="center"/>
    </xf>
    <xf numFmtId="3" fontId="23" fillId="0" borderId="0" xfId="0" applyNumberFormat="1" applyFont="1" applyAlignment="1">
      <alignment horizontal="right" vertical="center"/>
    </xf>
    <xf numFmtId="9" fontId="19" fillId="0" borderId="0" xfId="17" applyFont="1" applyBorder="1" applyAlignment="1">
      <alignment horizontal="right"/>
    </xf>
    <xf numFmtId="3" fontId="17" fillId="0" borderId="0" xfId="0" applyNumberFormat="1" applyFont="1" applyBorder="1" applyAlignment="1">
      <alignment horizontal="left" vertical="center"/>
    </xf>
    <xf numFmtId="14" fontId="51" fillId="2" borderId="0" xfId="0" applyNumberFormat="1" applyFont="1" applyFill="1" applyBorder="1" applyAlignment="1">
      <alignment horizontal="center" vertical="center" wrapText="1"/>
    </xf>
    <xf numFmtId="0" fontId="51" fillId="2" borderId="0" xfId="0" applyFont="1" applyFill="1" applyBorder="1" applyAlignment="1">
      <alignment horizontal="center" vertical="center" wrapText="1"/>
    </xf>
  </cellXfs>
  <cellStyles count="40">
    <cellStyle name="Normal_Summ.Ledg-CB" xfId="1"/>
    <cellStyle name="Обычный" xfId="0" builtinId="0"/>
    <cellStyle name="Обычный 2" xfId="2"/>
    <cellStyle name="Обычный 2 10" xfId="3"/>
    <cellStyle name="Обычный 2 11" xfId="4"/>
    <cellStyle name="Обычный 2 12" xfId="5"/>
    <cellStyle name="Обычный 2 2" xfId="6"/>
    <cellStyle name="Обычный 2 3" xfId="7"/>
    <cellStyle name="Обычный 2 4" xfId="8"/>
    <cellStyle name="Обычный 2 5" xfId="9"/>
    <cellStyle name="Обычный 2 6" xfId="10"/>
    <cellStyle name="Обычный 2 7" xfId="11"/>
    <cellStyle name="Обычный 2 8" xfId="12"/>
    <cellStyle name="Обычный 2 9" xfId="13"/>
    <cellStyle name="Обычный 3" xfId="14"/>
    <cellStyle name="Обычный_P&amp;L 2003-2006" xfId="15"/>
    <cellStyle name="Обычный_Копия Копия ВАЖНО Конс_бюджет!!!" xfId="16"/>
    <cellStyle name="Процентный" xfId="17" builtinId="5"/>
    <cellStyle name="Процентный 2 10" xfId="18"/>
    <cellStyle name="Процентный 2 11" xfId="19"/>
    <cellStyle name="Процентный 2 12" xfId="20"/>
    <cellStyle name="Процентный 2 2" xfId="21"/>
    <cellStyle name="Процентный 2 3" xfId="22"/>
    <cellStyle name="Процентный 2 4" xfId="23"/>
    <cellStyle name="Процентный 2 5" xfId="24"/>
    <cellStyle name="Процентный 2 6" xfId="25"/>
    <cellStyle name="Процентный 2 7" xfId="26"/>
    <cellStyle name="Процентный 2 8" xfId="27"/>
    <cellStyle name="Процентный 2 9" xfId="28"/>
    <cellStyle name="Финансовый 2 10" xfId="29"/>
    <cellStyle name="Финансовый 2 11" xfId="30"/>
    <cellStyle name="Финансовый 2 12" xfId="31"/>
    <cellStyle name="Финансовый 2 2" xfId="32"/>
    <cellStyle name="Финансовый 2 3" xfId="33"/>
    <cellStyle name="Финансовый 2 4" xfId="34"/>
    <cellStyle name="Финансовый 2 5" xfId="35"/>
    <cellStyle name="Финансовый 2 6" xfId="36"/>
    <cellStyle name="Финансовый 2 7" xfId="37"/>
    <cellStyle name="Финансовый 2 8" xfId="38"/>
    <cellStyle name="Финансовый 2 9"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647700</xdr:colOff>
      <xdr:row>13</xdr:row>
      <xdr:rowOff>142875</xdr:rowOff>
    </xdr:from>
    <xdr:to>
      <xdr:col>10</xdr:col>
      <xdr:colOff>257175</xdr:colOff>
      <xdr:row>26</xdr:row>
      <xdr:rowOff>104775</xdr:rowOff>
    </xdr:to>
    <xdr:sp macro="" textlink="">
      <xdr:nvSpPr>
        <xdr:cNvPr id="2" name="TextBox 1"/>
        <xdr:cNvSpPr txBox="1"/>
      </xdr:nvSpPr>
      <xdr:spPr>
        <a:xfrm>
          <a:off x="1866900" y="2305050"/>
          <a:ext cx="4676775"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600">
              <a:solidFill>
                <a:schemeClr val="accent1">
                  <a:lumMod val="75000"/>
                </a:schemeClr>
              </a:solidFill>
            </a:rPr>
            <a:t>NLMK</a:t>
          </a:r>
          <a:r>
            <a:rPr lang="en-US" sz="3600" baseline="0">
              <a:solidFill>
                <a:schemeClr val="accent1">
                  <a:lumMod val="75000"/>
                </a:schemeClr>
              </a:solidFill>
            </a:rPr>
            <a:t> </a:t>
          </a:r>
        </a:p>
        <a:p>
          <a:endParaRPr lang="en-US" sz="1100" baseline="0"/>
        </a:p>
        <a:p>
          <a:r>
            <a:rPr lang="en-US" sz="2400" b="1" baseline="0">
              <a:solidFill>
                <a:schemeClr val="tx1">
                  <a:lumMod val="65000"/>
                  <a:lumOff val="35000"/>
                </a:schemeClr>
              </a:solidFill>
            </a:rPr>
            <a:t>Investor Relations </a:t>
          </a:r>
        </a:p>
        <a:p>
          <a:endParaRPr lang="en-US" sz="1100" baseline="0">
            <a:solidFill>
              <a:schemeClr val="tx1">
                <a:lumMod val="75000"/>
                <a:lumOff val="25000"/>
              </a:schemeClr>
            </a:solidFill>
          </a:endParaRPr>
        </a:p>
        <a:p>
          <a:r>
            <a:rPr lang="en-US" sz="1100" baseline="0">
              <a:solidFill>
                <a:schemeClr val="tx1">
                  <a:lumMod val="75000"/>
                  <a:lumOff val="25000"/>
                </a:schemeClr>
              </a:solidFill>
            </a:rPr>
            <a:t>+7 495 915 1575</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tahiev_sa@nlmk.com </a:t>
          </a:r>
          <a:endParaRPr lang="ru-RU" sz="1100">
            <a:solidFill>
              <a:schemeClr val="tx1">
                <a:lumMod val="75000"/>
                <a:lumOff val="25000"/>
              </a:schemeClr>
            </a:solidFill>
          </a:endParaRPr>
        </a:p>
      </xdr:txBody>
    </xdr:sp>
    <xdr:clientData/>
  </xdr:twoCellAnchor>
  <xdr:twoCellAnchor editAs="oneCell">
    <xdr:from>
      <xdr:col>0</xdr:col>
      <xdr:colOff>171450</xdr:colOff>
      <xdr:row>3</xdr:row>
      <xdr:rowOff>152400</xdr:rowOff>
    </xdr:from>
    <xdr:to>
      <xdr:col>1</xdr:col>
      <xdr:colOff>552450</xdr:colOff>
      <xdr:row>6</xdr:row>
      <xdr:rowOff>57150</xdr:rowOff>
    </xdr:to>
    <xdr:pic>
      <xdr:nvPicPr>
        <xdr:cNvPr id="13684" name="Рисунок 3" descr="NLMK-eng-white.g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38175"/>
          <a:ext cx="9906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6"/>
  <sheetViews>
    <sheetView tabSelected="1" workbookViewId="0">
      <selection activeCell="D4" sqref="D4"/>
    </sheetView>
  </sheetViews>
  <sheetFormatPr defaultRowHeight="12.75" x14ac:dyDescent="0.2"/>
  <cols>
    <col min="1" max="2" width="9.140625" style="272"/>
    <col min="3" max="3" width="12" style="272" bestFit="1" customWidth="1"/>
    <col min="4" max="4" width="9.140625" style="272"/>
    <col min="5" max="5" width="10.28515625" style="272" customWidth="1"/>
    <col min="6" max="16384" width="9.140625" style="272"/>
  </cols>
  <sheetData>
    <row r="4" spans="3:8" s="273" customFormat="1" x14ac:dyDescent="0.2"/>
    <row r="5" spans="3:8" s="273" customFormat="1" x14ac:dyDescent="0.2"/>
    <row r="6" spans="3:8" s="273" customFormat="1" ht="21" x14ac:dyDescent="0.35">
      <c r="D6" s="274" t="s">
        <v>198</v>
      </c>
      <c r="E6" s="275"/>
      <c r="F6" s="275"/>
      <c r="G6" s="275"/>
      <c r="H6" s="275"/>
    </row>
    <row r="7" spans="3:8" s="273" customFormat="1" x14ac:dyDescent="0.2">
      <c r="D7" s="275"/>
      <c r="E7" s="275"/>
      <c r="F7" s="275"/>
      <c r="G7" s="275"/>
      <c r="H7" s="275"/>
    </row>
    <row r="8" spans="3:8" s="273" customFormat="1" x14ac:dyDescent="0.2">
      <c r="D8" s="275" t="s">
        <v>199</v>
      </c>
      <c r="E8" s="275"/>
      <c r="F8" s="275"/>
      <c r="G8" s="275"/>
      <c r="H8" s="275"/>
    </row>
    <row r="9" spans="3:8" s="273" customFormat="1" x14ac:dyDescent="0.2">
      <c r="D9" s="276"/>
      <c r="E9" s="276"/>
      <c r="F9" s="276"/>
      <c r="G9" s="276"/>
      <c r="H9" s="276"/>
    </row>
    <row r="10" spans="3:8" s="273" customFormat="1" x14ac:dyDescent="0.2">
      <c r="D10" s="275" t="s">
        <v>299</v>
      </c>
      <c r="E10" s="276"/>
      <c r="F10" s="276"/>
      <c r="G10" s="276"/>
      <c r="H10" s="276"/>
    </row>
    <row r="11" spans="3:8" s="273" customFormat="1" x14ac:dyDescent="0.2"/>
    <row r="12" spans="3:8" s="273" customFormat="1" x14ac:dyDescent="0.2"/>
    <row r="13" spans="3:8" s="277" customFormat="1" x14ac:dyDescent="0.2"/>
    <row r="14" spans="3:8" x14ac:dyDescent="0.2">
      <c r="C14" s="278"/>
    </row>
    <row r="15" spans="3:8" x14ac:dyDescent="0.2">
      <c r="C15" s="278"/>
    </row>
    <row r="16" spans="3:8" x14ac:dyDescent="0.2">
      <c r="C16" s="27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78"/>
  <sheetViews>
    <sheetView showGridLines="0" view="pageBreakPreview" zoomScaleNormal="85" zoomScaleSheetLayoutView="100" workbookViewId="0">
      <pane xSplit="1" ySplit="3" topLeftCell="M4" activePane="bottomRight" state="frozen"/>
      <selection pane="topRight" activeCell="B1" sqref="B1"/>
      <selection pane="bottomLeft" activeCell="A4" sqref="A4"/>
      <selection pane="bottomRight" activeCell="M4" sqref="M4"/>
    </sheetView>
  </sheetViews>
  <sheetFormatPr defaultRowHeight="12.75" outlineLevelCol="1" x14ac:dyDescent="0.2"/>
  <cols>
    <col min="1" max="1" width="37.5703125" style="88" customWidth="1"/>
    <col min="2" max="2" width="9.140625" style="66" hidden="1" customWidth="1" outlineLevel="1"/>
    <col min="3" max="3" width="9.85546875" style="66" hidden="1" customWidth="1" outlineLevel="1"/>
    <col min="4" max="4" width="9.7109375" style="66" hidden="1" customWidth="1" outlineLevel="1"/>
    <col min="5" max="5" width="8.42578125" style="66" hidden="1" customWidth="1" outlineLevel="1"/>
    <col min="6" max="6" width="7.7109375" style="66" hidden="1" customWidth="1" outlineLevel="1"/>
    <col min="7" max="7" width="8.85546875" style="1" hidden="1" customWidth="1" outlineLevel="1"/>
    <col min="8" max="9" width="9" style="1" hidden="1" customWidth="1" outlineLevel="1"/>
    <col min="10" max="10" width="9" style="66" hidden="1" customWidth="1" outlineLevel="1"/>
    <col min="11" max="11" width="8.85546875" style="66" hidden="1" customWidth="1" outlineLevel="1"/>
    <col min="12" max="12" width="9.5703125" style="193" hidden="1" customWidth="1" outlineLevel="1"/>
    <col min="13" max="13" width="9.7109375" style="193" customWidth="1" collapsed="1"/>
    <col min="14" max="16" width="11.28515625" style="66" hidden="1" customWidth="1" outlineLevel="1"/>
    <col min="17" max="17" width="11.28515625" style="66" customWidth="1" collapsed="1"/>
    <col min="18" max="20" width="11.28515625" style="66" hidden="1" customWidth="1" outlineLevel="1"/>
    <col min="21" max="21" width="11.28515625" style="66" customWidth="1" collapsed="1"/>
    <col min="22" max="24" width="11.28515625" style="66" hidden="1" customWidth="1" outlineLevel="1"/>
    <col min="25" max="25" width="11.28515625" style="66" customWidth="1" collapsed="1"/>
    <col min="26" max="28" width="11.28515625" style="66" hidden="1" customWidth="1" outlineLevel="1"/>
    <col min="29" max="29" width="11.28515625" style="66" customWidth="1" collapsed="1"/>
    <col min="30" max="37" width="11.28515625" style="66" customWidth="1"/>
    <col min="38" max="38" width="6.42578125" style="66" customWidth="1"/>
    <col min="39" max="41" width="11.28515625" style="1" customWidth="1"/>
    <col min="42" max="46" width="10.140625" style="1" customWidth="1"/>
    <col min="47" max="16384" width="9.140625" style="1"/>
  </cols>
  <sheetData>
    <row r="1" spans="1:47" ht="15.75" x14ac:dyDescent="0.25">
      <c r="A1" s="156"/>
      <c r="B1" s="156"/>
      <c r="C1" s="337"/>
      <c r="D1" s="157"/>
      <c r="E1" s="337"/>
      <c r="F1" s="157"/>
      <c r="G1" s="337"/>
      <c r="H1" s="157"/>
      <c r="I1" s="337"/>
      <c r="J1" s="157"/>
      <c r="K1" s="157"/>
      <c r="L1" s="158"/>
      <c r="M1" s="158"/>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50"/>
    </row>
    <row r="2" spans="1:47" s="88" customFormat="1" ht="12" customHeight="1" thickBot="1" x14ac:dyDescent="0.25">
      <c r="A2" s="159" t="s">
        <v>146</v>
      </c>
      <c r="B2" s="160"/>
      <c r="C2" s="338"/>
      <c r="D2" s="161"/>
      <c r="E2" s="338"/>
      <c r="F2" s="161"/>
      <c r="G2" s="338"/>
      <c r="H2" s="161"/>
      <c r="I2" s="338"/>
      <c r="J2" s="161"/>
      <c r="K2" s="161"/>
      <c r="L2" s="162"/>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7"/>
    </row>
    <row r="3" spans="1:47" s="88" customFormat="1" ht="12" thickBot="1" x14ac:dyDescent="0.25">
      <c r="A3" s="161" t="s">
        <v>96</v>
      </c>
      <c r="B3" s="163">
        <v>38807</v>
      </c>
      <c r="C3" s="163">
        <v>38898</v>
      </c>
      <c r="D3" s="163">
        <v>38990</v>
      </c>
      <c r="E3" s="163">
        <v>39082</v>
      </c>
      <c r="F3" s="163">
        <v>39172</v>
      </c>
      <c r="G3" s="163">
        <v>39263</v>
      </c>
      <c r="H3" s="163">
        <v>39355</v>
      </c>
      <c r="I3" s="163">
        <v>39447</v>
      </c>
      <c r="J3" s="164">
        <v>39538</v>
      </c>
      <c r="K3" s="164">
        <v>39629</v>
      </c>
      <c r="L3" s="164">
        <v>39721</v>
      </c>
      <c r="M3" s="164">
        <v>39813</v>
      </c>
      <c r="N3" s="164">
        <v>39903</v>
      </c>
      <c r="O3" s="164">
        <v>39994</v>
      </c>
      <c r="P3" s="164">
        <v>40086</v>
      </c>
      <c r="Q3" s="164">
        <v>40178</v>
      </c>
      <c r="R3" s="164">
        <v>40268</v>
      </c>
      <c r="S3" s="164">
        <v>40359</v>
      </c>
      <c r="T3" s="164">
        <v>40451</v>
      </c>
      <c r="U3" s="164">
        <v>40543</v>
      </c>
      <c r="V3" s="164">
        <v>40633</v>
      </c>
      <c r="W3" s="164">
        <v>40724</v>
      </c>
      <c r="X3" s="164">
        <v>40816</v>
      </c>
      <c r="Y3" s="164">
        <v>40908</v>
      </c>
      <c r="Z3" s="164">
        <v>40999</v>
      </c>
      <c r="AA3" s="164">
        <v>41090</v>
      </c>
      <c r="AB3" s="164">
        <v>41182</v>
      </c>
      <c r="AC3" s="164">
        <v>41274</v>
      </c>
      <c r="AD3" s="164">
        <v>41364</v>
      </c>
      <c r="AE3" s="164">
        <v>41455</v>
      </c>
      <c r="AF3" s="164">
        <v>41547</v>
      </c>
      <c r="AG3" s="164">
        <v>41639</v>
      </c>
      <c r="AH3" s="164">
        <v>41729</v>
      </c>
      <c r="AI3" s="164">
        <v>41820</v>
      </c>
      <c r="AJ3" s="164">
        <v>41912</v>
      </c>
      <c r="AK3" s="164">
        <v>42004</v>
      </c>
      <c r="AL3" s="164"/>
      <c r="AM3" s="163">
        <v>39082</v>
      </c>
      <c r="AN3" s="163" t="s">
        <v>145</v>
      </c>
      <c r="AO3" s="163" t="s">
        <v>166</v>
      </c>
      <c r="AP3" s="163" t="s">
        <v>185</v>
      </c>
      <c r="AQ3" s="163" t="s">
        <v>207</v>
      </c>
      <c r="AR3" s="163" t="s">
        <v>214</v>
      </c>
      <c r="AS3" s="163" t="s">
        <v>240</v>
      </c>
      <c r="AT3" s="163" t="s">
        <v>257</v>
      </c>
      <c r="AU3" s="163" t="s">
        <v>297</v>
      </c>
    </row>
    <row r="4" spans="1:47" s="88" customFormat="1" ht="11.25" x14ac:dyDescent="0.2">
      <c r="A4" s="165" t="s">
        <v>97</v>
      </c>
      <c r="B4" s="166">
        <v>3864609</v>
      </c>
      <c r="C4" s="166">
        <v>3287409</v>
      </c>
      <c r="D4" s="166">
        <v>3555670</v>
      </c>
      <c r="E4" s="166">
        <v>3049600</v>
      </c>
      <c r="F4" s="166">
        <v>3483971</v>
      </c>
      <c r="G4" s="166">
        <v>3628552</v>
      </c>
      <c r="H4" s="166">
        <v>3903819</v>
      </c>
      <c r="I4" s="166">
        <v>4388178</v>
      </c>
      <c r="J4" s="166">
        <v>5094285</v>
      </c>
      <c r="K4" s="166">
        <v>5248871</v>
      </c>
      <c r="L4" s="166">
        <v>6702226</v>
      </c>
      <c r="M4" s="166">
        <v>5346079</v>
      </c>
      <c r="N4" s="166">
        <v>4271170</v>
      </c>
      <c r="O4" s="166">
        <v>4161055</v>
      </c>
      <c r="P4" s="166">
        <v>3853755</v>
      </c>
      <c r="Q4" s="166">
        <v>3876746</v>
      </c>
      <c r="R4" s="166">
        <v>4091054</v>
      </c>
      <c r="S4" s="166">
        <v>4150214</v>
      </c>
      <c r="T4" s="166">
        <v>4372272</v>
      </c>
      <c r="U4" s="166">
        <v>4105349</v>
      </c>
      <c r="V4" s="166">
        <v>4437647</v>
      </c>
      <c r="W4" s="166">
        <v>4810908</v>
      </c>
      <c r="X4" s="166">
        <v>5644099</v>
      </c>
      <c r="Y4" s="166">
        <v>5503764</v>
      </c>
      <c r="Z4" s="166">
        <v>5713851</v>
      </c>
      <c r="AA4" s="166">
        <f>SUM(AA5:AA11)</f>
        <v>5229994</v>
      </c>
      <c r="AB4" s="166">
        <v>6287494</v>
      </c>
      <c r="AC4" s="166">
        <v>5469390</v>
      </c>
      <c r="AD4" s="166">
        <v>5833598</v>
      </c>
      <c r="AE4" s="166">
        <f t="shared" ref="AE4:AJ4" si="0">SUM(AE5:AE11)</f>
        <v>5537198</v>
      </c>
      <c r="AF4" s="166">
        <f t="shared" si="0"/>
        <v>4917760</v>
      </c>
      <c r="AG4" s="166">
        <f t="shared" si="0"/>
        <v>5101867</v>
      </c>
      <c r="AH4" s="166">
        <f t="shared" si="0"/>
        <v>4965598</v>
      </c>
      <c r="AI4" s="166">
        <f t="shared" si="0"/>
        <v>5138486</v>
      </c>
      <c r="AJ4" s="166">
        <f t="shared" si="0"/>
        <v>4780980</v>
      </c>
      <c r="AK4" s="166">
        <f t="shared" ref="AK4" si="1">SUM(AK5:AK11)</f>
        <v>3915399</v>
      </c>
      <c r="AL4" s="166"/>
      <c r="AM4" s="166">
        <v>3049600</v>
      </c>
      <c r="AN4" s="166">
        <v>4388178</v>
      </c>
      <c r="AO4" s="166">
        <v>5346079</v>
      </c>
      <c r="AP4" s="166">
        <f t="shared" ref="AP4:AP9" si="2">Q4</f>
        <v>3876746</v>
      </c>
      <c r="AQ4" s="166">
        <f t="shared" ref="AQ4:AQ9" si="3">U4</f>
        <v>4105349</v>
      </c>
      <c r="AR4" s="166">
        <f t="shared" ref="AR4:AR9" si="4">Y4</f>
        <v>5503764</v>
      </c>
      <c r="AS4" s="166">
        <f t="shared" ref="AS4:AS9" si="5">AC4</f>
        <v>5469390</v>
      </c>
      <c r="AT4" s="166">
        <f t="shared" ref="AT4:AT9" si="6">AG4</f>
        <v>5101867</v>
      </c>
      <c r="AU4" s="166">
        <f t="shared" ref="AU4:AU9" si="7">AK4</f>
        <v>3915399</v>
      </c>
    </row>
    <row r="5" spans="1:47" s="101" customFormat="1" ht="11.25" x14ac:dyDescent="0.2">
      <c r="A5" s="167" t="s">
        <v>98</v>
      </c>
      <c r="B5" s="168">
        <v>2271264</v>
      </c>
      <c r="C5" s="168">
        <v>1385593</v>
      </c>
      <c r="D5" s="168">
        <v>1342436</v>
      </c>
      <c r="E5" s="168">
        <v>665213</v>
      </c>
      <c r="F5" s="168">
        <v>898309</v>
      </c>
      <c r="G5" s="168">
        <v>1348556</v>
      </c>
      <c r="H5" s="168">
        <v>1388468</v>
      </c>
      <c r="I5" s="168">
        <v>1154641</v>
      </c>
      <c r="J5" s="168">
        <v>1181374</v>
      </c>
      <c r="K5" s="168">
        <v>1325342</v>
      </c>
      <c r="L5" s="169">
        <v>2735428</v>
      </c>
      <c r="M5" s="169">
        <v>2159989</v>
      </c>
      <c r="N5" s="168">
        <v>1546145</v>
      </c>
      <c r="O5" s="168">
        <v>1590511</v>
      </c>
      <c r="P5" s="168">
        <v>1641568</v>
      </c>
      <c r="Q5" s="168">
        <v>1247048</v>
      </c>
      <c r="R5" s="168">
        <v>1157305</v>
      </c>
      <c r="S5" s="168">
        <v>953185</v>
      </c>
      <c r="T5" s="168">
        <v>779931</v>
      </c>
      <c r="U5" s="168">
        <v>747979</v>
      </c>
      <c r="V5" s="168">
        <v>977350</v>
      </c>
      <c r="W5" s="168">
        <v>911435</v>
      </c>
      <c r="X5" s="168">
        <v>830031</v>
      </c>
      <c r="Y5" s="168">
        <v>797169</v>
      </c>
      <c r="Z5" s="168">
        <v>925712</v>
      </c>
      <c r="AA5" s="168">
        <v>769159</v>
      </c>
      <c r="AB5" s="168">
        <v>1802885</v>
      </c>
      <c r="AC5" s="168">
        <v>951247</v>
      </c>
      <c r="AD5" s="168">
        <v>1219830</v>
      </c>
      <c r="AE5" s="168">
        <v>1240724</v>
      </c>
      <c r="AF5" s="168">
        <v>835355</v>
      </c>
      <c r="AG5" s="168">
        <v>969992</v>
      </c>
      <c r="AH5" s="168">
        <v>829934</v>
      </c>
      <c r="AI5" s="168">
        <v>939067</v>
      </c>
      <c r="AJ5" s="168">
        <v>814676</v>
      </c>
      <c r="AK5" s="168">
        <v>549210</v>
      </c>
      <c r="AL5" s="168"/>
      <c r="AM5" s="168">
        <v>665213</v>
      </c>
      <c r="AN5" s="168">
        <v>1154641</v>
      </c>
      <c r="AO5" s="168">
        <v>2159989</v>
      </c>
      <c r="AP5" s="168">
        <f t="shared" si="2"/>
        <v>1247048</v>
      </c>
      <c r="AQ5" s="168">
        <f t="shared" si="3"/>
        <v>747979</v>
      </c>
      <c r="AR5" s="168">
        <f t="shared" si="4"/>
        <v>797169</v>
      </c>
      <c r="AS5" s="168">
        <f t="shared" si="5"/>
        <v>951247</v>
      </c>
      <c r="AT5" s="168">
        <f t="shared" si="6"/>
        <v>969992</v>
      </c>
      <c r="AU5" s="168">
        <f t="shared" si="7"/>
        <v>549210</v>
      </c>
    </row>
    <row r="6" spans="1:47" s="101" customFormat="1" ht="11.25" x14ac:dyDescent="0.2">
      <c r="A6" s="167" t="s">
        <v>99</v>
      </c>
      <c r="B6" s="168">
        <v>22892</v>
      </c>
      <c r="C6" s="168">
        <v>20786</v>
      </c>
      <c r="D6" s="168">
        <v>53262</v>
      </c>
      <c r="E6" s="168">
        <v>37261</v>
      </c>
      <c r="F6" s="168">
        <v>36672</v>
      </c>
      <c r="G6" s="168">
        <v>136710</v>
      </c>
      <c r="H6" s="168">
        <v>144407</v>
      </c>
      <c r="I6" s="168">
        <v>153462</v>
      </c>
      <c r="J6" s="168">
        <v>176863</v>
      </c>
      <c r="K6" s="168">
        <v>180813</v>
      </c>
      <c r="L6" s="169">
        <v>14089</v>
      </c>
      <c r="M6" s="169">
        <v>8089</v>
      </c>
      <c r="N6" s="168">
        <v>338301</v>
      </c>
      <c r="O6" s="168">
        <v>467342</v>
      </c>
      <c r="P6" s="168">
        <v>126465</v>
      </c>
      <c r="Q6" s="168">
        <v>451910</v>
      </c>
      <c r="R6" s="168">
        <v>424221</v>
      </c>
      <c r="S6" s="168">
        <v>464933</v>
      </c>
      <c r="T6" s="168">
        <v>725649</v>
      </c>
      <c r="U6" s="168">
        <v>422643</v>
      </c>
      <c r="V6" s="168">
        <v>265312</v>
      </c>
      <c r="W6" s="168">
        <v>202048</v>
      </c>
      <c r="X6" s="168">
        <v>58853</v>
      </c>
      <c r="Y6" s="168">
        <v>227279</v>
      </c>
      <c r="Z6" s="168">
        <v>10789</v>
      </c>
      <c r="AA6" s="168">
        <v>10496</v>
      </c>
      <c r="AB6" s="168">
        <v>10726</v>
      </c>
      <c r="AC6" s="168">
        <v>106906</v>
      </c>
      <c r="AD6" s="168">
        <v>271190</v>
      </c>
      <c r="AE6" s="168">
        <v>121215</v>
      </c>
      <c r="AF6" s="168">
        <v>516106</v>
      </c>
      <c r="AG6" s="168">
        <v>484981</v>
      </c>
      <c r="AH6" s="168">
        <v>753489</v>
      </c>
      <c r="AI6" s="168">
        <v>791624</v>
      </c>
      <c r="AJ6" s="168">
        <v>667943</v>
      </c>
      <c r="AK6" s="168">
        <v>621254</v>
      </c>
      <c r="AL6" s="168"/>
      <c r="AM6" s="168">
        <v>37261</v>
      </c>
      <c r="AN6" s="168">
        <v>153462</v>
      </c>
      <c r="AO6" s="168">
        <v>8089</v>
      </c>
      <c r="AP6" s="168">
        <f t="shared" si="2"/>
        <v>451910</v>
      </c>
      <c r="AQ6" s="168">
        <f t="shared" si="3"/>
        <v>422643</v>
      </c>
      <c r="AR6" s="168">
        <f t="shared" si="4"/>
        <v>227279</v>
      </c>
      <c r="AS6" s="168">
        <f t="shared" si="5"/>
        <v>106906</v>
      </c>
      <c r="AT6" s="168">
        <f t="shared" si="6"/>
        <v>484981</v>
      </c>
      <c r="AU6" s="168">
        <f t="shared" si="7"/>
        <v>621254</v>
      </c>
    </row>
    <row r="7" spans="1:47" s="101" customFormat="1" ht="11.25" x14ac:dyDescent="0.2">
      <c r="A7" s="167" t="s">
        <v>100</v>
      </c>
      <c r="B7" s="168">
        <v>763653</v>
      </c>
      <c r="C7" s="168">
        <v>966059</v>
      </c>
      <c r="D7" s="168">
        <v>1100058</v>
      </c>
      <c r="E7" s="168">
        <v>1150492</v>
      </c>
      <c r="F7" s="168">
        <v>1251869</v>
      </c>
      <c r="G7" s="168">
        <v>1110116</v>
      </c>
      <c r="H7" s="168">
        <v>1194199</v>
      </c>
      <c r="I7" s="168">
        <v>1696451</v>
      </c>
      <c r="J7" s="168">
        <v>2039857</v>
      </c>
      <c r="K7" s="168">
        <v>1822499</v>
      </c>
      <c r="L7" s="169">
        <v>1779496</v>
      </c>
      <c r="M7" s="169">
        <v>1487847</v>
      </c>
      <c r="N7" s="168">
        <v>1187166</v>
      </c>
      <c r="O7" s="168">
        <v>882295</v>
      </c>
      <c r="P7" s="168">
        <v>907612</v>
      </c>
      <c r="Q7" s="168">
        <v>913192</v>
      </c>
      <c r="R7" s="168">
        <v>1064812</v>
      </c>
      <c r="S7" s="168">
        <v>1213487</v>
      </c>
      <c r="T7" s="168">
        <v>1188805</v>
      </c>
      <c r="U7" s="168">
        <v>1259596</v>
      </c>
      <c r="V7" s="168">
        <v>1294869</v>
      </c>
      <c r="W7" s="168">
        <v>1668670</v>
      </c>
      <c r="X7" s="168">
        <v>1693607</v>
      </c>
      <c r="Y7" s="168">
        <v>1572641</v>
      </c>
      <c r="Z7" s="168">
        <v>1786206</v>
      </c>
      <c r="AA7" s="168">
        <v>1641946</v>
      </c>
      <c r="AB7" s="168">
        <v>1558727</v>
      </c>
      <c r="AC7" s="168">
        <v>1490951</v>
      </c>
      <c r="AD7" s="168">
        <v>1556860</v>
      </c>
      <c r="AE7" s="168">
        <v>1497143</v>
      </c>
      <c r="AF7" s="168">
        <v>1540138</v>
      </c>
      <c r="AG7" s="168">
        <v>1437697</v>
      </c>
      <c r="AH7" s="168">
        <v>1543871</v>
      </c>
      <c r="AI7" s="168">
        <v>1561154</v>
      </c>
      <c r="AJ7" s="168">
        <v>1371342</v>
      </c>
      <c r="AK7" s="168">
        <v>1104423</v>
      </c>
      <c r="AL7" s="168"/>
      <c r="AM7" s="168">
        <v>1150492</v>
      </c>
      <c r="AN7" s="168">
        <v>1696451</v>
      </c>
      <c r="AO7" s="168">
        <v>1487847</v>
      </c>
      <c r="AP7" s="168">
        <f t="shared" si="2"/>
        <v>913192</v>
      </c>
      <c r="AQ7" s="168">
        <f t="shared" si="3"/>
        <v>1259596</v>
      </c>
      <c r="AR7" s="168">
        <f t="shared" si="4"/>
        <v>1572641</v>
      </c>
      <c r="AS7" s="168">
        <f t="shared" si="5"/>
        <v>1490951</v>
      </c>
      <c r="AT7" s="168">
        <f t="shared" si="6"/>
        <v>1437697</v>
      </c>
      <c r="AU7" s="168">
        <f t="shared" si="7"/>
        <v>1104423</v>
      </c>
    </row>
    <row r="8" spans="1:47" s="101" customFormat="1" ht="11.25" x14ac:dyDescent="0.2">
      <c r="A8" s="167" t="s">
        <v>101</v>
      </c>
      <c r="B8" s="168">
        <v>560685</v>
      </c>
      <c r="C8" s="168">
        <v>643027</v>
      </c>
      <c r="D8" s="168">
        <v>750637</v>
      </c>
      <c r="E8" s="168">
        <v>856940</v>
      </c>
      <c r="F8" s="168">
        <v>873728</v>
      </c>
      <c r="G8" s="168">
        <v>936248</v>
      </c>
      <c r="H8" s="168">
        <v>1042745</v>
      </c>
      <c r="I8" s="168">
        <v>1236433</v>
      </c>
      <c r="J8" s="168">
        <v>1527368</v>
      </c>
      <c r="K8" s="168">
        <v>1735205</v>
      </c>
      <c r="L8" s="169">
        <v>2033011</v>
      </c>
      <c r="M8" s="169">
        <v>1555762</v>
      </c>
      <c r="N8" s="168">
        <v>1050121</v>
      </c>
      <c r="O8" s="168">
        <v>1031256</v>
      </c>
      <c r="P8" s="168">
        <v>1052255</v>
      </c>
      <c r="Q8" s="168">
        <v>1134095</v>
      </c>
      <c r="R8" s="168">
        <v>1324455</v>
      </c>
      <c r="S8" s="168">
        <v>1401348</v>
      </c>
      <c r="T8" s="168">
        <v>1563896</v>
      </c>
      <c r="U8" s="168">
        <v>1580068</v>
      </c>
      <c r="V8" s="168">
        <v>1784383</v>
      </c>
      <c r="W8" s="168">
        <v>1923015</v>
      </c>
      <c r="X8" s="168">
        <v>2939463</v>
      </c>
      <c r="Y8" s="168">
        <v>2828433</v>
      </c>
      <c r="Z8" s="168">
        <v>2903925</v>
      </c>
      <c r="AA8" s="168">
        <v>2732839</v>
      </c>
      <c r="AB8" s="168">
        <v>2819055</v>
      </c>
      <c r="AC8" s="168">
        <v>2826933</v>
      </c>
      <c r="AD8" s="168">
        <v>2689179</v>
      </c>
      <c r="AE8" s="168">
        <v>2530187</v>
      </c>
      <c r="AF8" s="168">
        <v>1897135</v>
      </c>
      <c r="AG8" s="168">
        <v>2123755</v>
      </c>
      <c r="AH8" s="168">
        <v>1731229</v>
      </c>
      <c r="AI8" s="168">
        <v>1735344</v>
      </c>
      <c r="AJ8" s="168">
        <v>1821981</v>
      </c>
      <c r="AK8" s="168">
        <v>1560091</v>
      </c>
      <c r="AL8" s="168"/>
      <c r="AM8" s="168">
        <v>856940</v>
      </c>
      <c r="AN8" s="168">
        <v>1236433</v>
      </c>
      <c r="AO8" s="168">
        <v>1555762</v>
      </c>
      <c r="AP8" s="168">
        <f t="shared" si="2"/>
        <v>1134095</v>
      </c>
      <c r="AQ8" s="168">
        <f t="shared" si="3"/>
        <v>1580068</v>
      </c>
      <c r="AR8" s="168">
        <f t="shared" si="4"/>
        <v>2828433</v>
      </c>
      <c r="AS8" s="168">
        <f t="shared" si="5"/>
        <v>2826933</v>
      </c>
      <c r="AT8" s="168">
        <f t="shared" si="6"/>
        <v>2123755</v>
      </c>
      <c r="AU8" s="168">
        <f t="shared" si="7"/>
        <v>1560091</v>
      </c>
    </row>
    <row r="9" spans="1:47" s="88" customFormat="1" ht="11.25" x14ac:dyDescent="0.2">
      <c r="A9" s="167" t="s">
        <v>102</v>
      </c>
      <c r="B9" s="168">
        <v>237941</v>
      </c>
      <c r="C9" s="168">
        <v>263037</v>
      </c>
      <c r="D9" s="168">
        <v>299132</v>
      </c>
      <c r="E9" s="168">
        <v>331322</v>
      </c>
      <c r="F9" s="168">
        <v>369780</v>
      </c>
      <c r="G9" s="168">
        <v>96922</v>
      </c>
      <c r="H9" s="168">
        <v>134000</v>
      </c>
      <c r="I9" s="168">
        <v>147191</v>
      </c>
      <c r="J9" s="168">
        <v>168823</v>
      </c>
      <c r="K9" s="168">
        <v>172223</v>
      </c>
      <c r="L9" s="169">
        <v>129111</v>
      </c>
      <c r="M9" s="169">
        <v>99960</v>
      </c>
      <c r="N9" s="168">
        <v>90417</v>
      </c>
      <c r="O9" s="168">
        <v>94233</v>
      </c>
      <c r="P9" s="168">
        <v>92768</v>
      </c>
      <c r="Q9" s="168">
        <v>58034</v>
      </c>
      <c r="R9" s="168">
        <v>61517</v>
      </c>
      <c r="S9" s="168">
        <v>59101</v>
      </c>
      <c r="T9" s="168">
        <v>62015</v>
      </c>
      <c r="U9" s="168">
        <v>51994</v>
      </c>
      <c r="V9" s="168">
        <v>64590</v>
      </c>
      <c r="W9" s="168">
        <v>61597</v>
      </c>
      <c r="X9" s="168">
        <v>69132</v>
      </c>
      <c r="Y9" s="168">
        <v>59355</v>
      </c>
      <c r="Z9" s="168">
        <v>63306</v>
      </c>
      <c r="AA9" s="168">
        <v>47227</v>
      </c>
      <c r="AB9" s="168">
        <v>42333</v>
      </c>
      <c r="AC9" s="168">
        <v>30394</v>
      </c>
      <c r="AD9" s="168">
        <v>25040</v>
      </c>
      <c r="AE9" s="168">
        <v>26581</v>
      </c>
      <c r="AF9" s="168">
        <v>9308</v>
      </c>
      <c r="AG9" s="168">
        <v>7578</v>
      </c>
      <c r="AH9" s="168">
        <v>17300</v>
      </c>
      <c r="AI9" s="168">
        <v>15513</v>
      </c>
      <c r="AJ9" s="168">
        <v>10439</v>
      </c>
      <c r="AK9" s="168">
        <v>5252</v>
      </c>
      <c r="AL9" s="168"/>
      <c r="AM9" s="168">
        <v>331322</v>
      </c>
      <c r="AN9" s="168">
        <v>147191</v>
      </c>
      <c r="AO9" s="168">
        <v>99960</v>
      </c>
      <c r="AP9" s="168">
        <f t="shared" si="2"/>
        <v>58034</v>
      </c>
      <c r="AQ9" s="168">
        <f t="shared" si="3"/>
        <v>51994</v>
      </c>
      <c r="AR9" s="168">
        <f t="shared" si="4"/>
        <v>59355</v>
      </c>
      <c r="AS9" s="168">
        <f t="shared" si="5"/>
        <v>30394</v>
      </c>
      <c r="AT9" s="168">
        <f t="shared" si="6"/>
        <v>7578</v>
      </c>
      <c r="AU9" s="168">
        <f t="shared" si="7"/>
        <v>5252</v>
      </c>
    </row>
    <row r="10" spans="1:47" s="88" customFormat="1" ht="11.25" x14ac:dyDescent="0.2">
      <c r="A10" s="170" t="s">
        <v>103</v>
      </c>
      <c r="B10" s="169">
        <v>8174</v>
      </c>
      <c r="C10" s="169">
        <v>8907</v>
      </c>
      <c r="D10" s="169">
        <v>10145</v>
      </c>
      <c r="E10" s="169">
        <v>8372</v>
      </c>
      <c r="F10" s="169">
        <v>9249</v>
      </c>
      <c r="G10" s="169"/>
      <c r="H10" s="169"/>
      <c r="I10" s="169"/>
      <c r="J10" s="169"/>
      <c r="K10" s="169">
        <v>12789</v>
      </c>
      <c r="L10" s="169">
        <v>11091</v>
      </c>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v>8372</v>
      </c>
      <c r="AN10" s="169"/>
      <c r="AO10" s="169"/>
      <c r="AP10" s="169"/>
      <c r="AQ10" s="169"/>
      <c r="AR10" s="169"/>
      <c r="AS10" s="169"/>
      <c r="AT10" s="169"/>
      <c r="AU10" s="169"/>
    </row>
    <row r="11" spans="1:47" s="88" customFormat="1" ht="11.25" x14ac:dyDescent="0.2">
      <c r="A11" s="170" t="s">
        <v>173</v>
      </c>
      <c r="B11" s="169"/>
      <c r="C11" s="169"/>
      <c r="D11" s="169"/>
      <c r="E11" s="169"/>
      <c r="F11" s="169"/>
      <c r="G11" s="169"/>
      <c r="H11" s="169"/>
      <c r="I11" s="169"/>
      <c r="J11" s="169"/>
      <c r="K11" s="169"/>
      <c r="L11" s="169"/>
      <c r="M11" s="169"/>
      <c r="N11" s="171">
        <v>59020</v>
      </c>
      <c r="O11" s="171">
        <v>95418</v>
      </c>
      <c r="P11" s="169">
        <v>33087</v>
      </c>
      <c r="Q11" s="169">
        <v>72467</v>
      </c>
      <c r="R11" s="169">
        <v>58744</v>
      </c>
      <c r="S11" s="169">
        <v>58160</v>
      </c>
      <c r="T11" s="169">
        <v>51976</v>
      </c>
      <c r="U11" s="169">
        <v>43069</v>
      </c>
      <c r="V11" s="169">
        <v>51143</v>
      </c>
      <c r="W11" s="169">
        <v>44143</v>
      </c>
      <c r="X11" s="169">
        <v>53013</v>
      </c>
      <c r="Y11" s="169">
        <v>18887</v>
      </c>
      <c r="Z11" s="169">
        <v>23913</v>
      </c>
      <c r="AA11" s="169">
        <v>28327</v>
      </c>
      <c r="AB11" s="169">
        <v>53768</v>
      </c>
      <c r="AC11" s="169">
        <v>62959</v>
      </c>
      <c r="AD11" s="169">
        <v>71499</v>
      </c>
      <c r="AE11" s="169">
        <v>121348</v>
      </c>
      <c r="AF11" s="169">
        <v>119718</v>
      </c>
      <c r="AG11" s="169">
        <v>77864</v>
      </c>
      <c r="AH11" s="169">
        <v>89775</v>
      </c>
      <c r="AI11" s="169">
        <v>95784</v>
      </c>
      <c r="AJ11" s="169">
        <v>94599</v>
      </c>
      <c r="AK11" s="169">
        <v>75169</v>
      </c>
      <c r="AL11" s="169"/>
      <c r="AM11" s="169"/>
      <c r="AN11" s="169"/>
      <c r="AO11" s="169"/>
      <c r="AP11" s="169">
        <f>Q11</f>
        <v>72467</v>
      </c>
      <c r="AQ11" s="169">
        <f>U11</f>
        <v>43069</v>
      </c>
      <c r="AR11" s="169">
        <f>Y11</f>
        <v>18887</v>
      </c>
      <c r="AS11" s="169">
        <f>AC11</f>
        <v>62959</v>
      </c>
      <c r="AT11" s="169">
        <f>AG11</f>
        <v>77864</v>
      </c>
      <c r="AU11" s="169">
        <f>AK11</f>
        <v>75169</v>
      </c>
    </row>
    <row r="12" spans="1:47" s="88" customFormat="1" ht="11.25" x14ac:dyDescent="0.2">
      <c r="A12" s="167" t="s">
        <v>104</v>
      </c>
      <c r="B12" s="168"/>
      <c r="C12" s="168"/>
      <c r="D12" s="168"/>
      <c r="E12" s="168"/>
      <c r="F12" s="168">
        <v>44364</v>
      </c>
      <c r="G12" s="168"/>
      <c r="H12" s="168"/>
      <c r="I12" s="168"/>
      <c r="J12" s="168"/>
      <c r="K12" s="168"/>
      <c r="L12" s="169"/>
      <c r="M12" s="169">
        <v>34432</v>
      </c>
      <c r="N12" s="169"/>
      <c r="O12" s="169"/>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v>34432</v>
      </c>
      <c r="AP12" s="168"/>
      <c r="AQ12" s="168"/>
      <c r="AR12" s="168"/>
      <c r="AS12" s="168"/>
      <c r="AT12" s="168"/>
      <c r="AU12" s="168"/>
    </row>
    <row r="13" spans="1:47" s="117" customFormat="1" ht="11.25" x14ac:dyDescent="0.2">
      <c r="A13" s="17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row>
    <row r="14" spans="1:47" s="121" customFormat="1" ht="11.25" x14ac:dyDescent="0.2">
      <c r="A14" s="173" t="s">
        <v>105</v>
      </c>
      <c r="B14" s="174">
        <v>2960430</v>
      </c>
      <c r="C14" s="174">
        <v>4086758</v>
      </c>
      <c r="D14" s="174">
        <v>4734423</v>
      </c>
      <c r="E14" s="174">
        <v>5667390</v>
      </c>
      <c r="F14" s="174">
        <v>5820576</v>
      </c>
      <c r="G14" s="174">
        <v>5782964</v>
      </c>
      <c r="H14" s="174">
        <v>6105316</v>
      </c>
      <c r="I14" s="174">
        <v>8687764</v>
      </c>
      <c r="J14" s="174">
        <v>9318349</v>
      </c>
      <c r="K14" s="174">
        <v>9863550</v>
      </c>
      <c r="L14" s="174">
        <v>9816489</v>
      </c>
      <c r="M14" s="174">
        <v>8718449</v>
      </c>
      <c r="N14" s="174">
        <v>7526035</v>
      </c>
      <c r="O14" s="174">
        <v>8178392</v>
      </c>
      <c r="P14" s="174">
        <v>8596391</v>
      </c>
      <c r="Q14" s="174">
        <v>8625198</v>
      </c>
      <c r="R14" s="174">
        <v>8937930</v>
      </c>
      <c r="S14" s="174">
        <v>8712877</v>
      </c>
      <c r="T14" s="174">
        <v>9507938</v>
      </c>
      <c r="U14" s="174">
        <v>9793676</v>
      </c>
      <c r="V14" s="174">
        <v>10712834</v>
      </c>
      <c r="W14" s="174">
        <v>11139627</v>
      </c>
      <c r="X14" s="174">
        <v>11440015</v>
      </c>
      <c r="Y14" s="174">
        <v>11753412</v>
      </c>
      <c r="Z14" s="174">
        <v>12894664</v>
      </c>
      <c r="AA14" s="174">
        <f>SUM(AA15:AA21)</f>
        <v>11872801</v>
      </c>
      <c r="AB14" s="174">
        <v>12661054</v>
      </c>
      <c r="AC14" s="174">
        <v>12988130</v>
      </c>
      <c r="AD14" s="174">
        <v>12676702</v>
      </c>
      <c r="AE14" s="174">
        <f t="shared" ref="AE14:AJ14" si="8">SUM(AE15:AE21)</f>
        <v>12100624</v>
      </c>
      <c r="AF14" s="174">
        <f t="shared" si="8"/>
        <v>11387664</v>
      </c>
      <c r="AG14" s="174">
        <f t="shared" si="8"/>
        <v>11182214</v>
      </c>
      <c r="AH14" s="174">
        <f t="shared" si="8"/>
        <v>10240647</v>
      </c>
      <c r="AI14" s="174">
        <f t="shared" si="8"/>
        <v>10724921</v>
      </c>
      <c r="AJ14" s="174">
        <f t="shared" si="8"/>
        <v>9232519</v>
      </c>
      <c r="AK14" s="174">
        <f t="shared" ref="AK14" si="9">SUM(AK15:AK21)</f>
        <v>6490358</v>
      </c>
      <c r="AL14" s="174"/>
      <c r="AM14" s="174">
        <v>5667390</v>
      </c>
      <c r="AN14" s="174">
        <v>8687764</v>
      </c>
      <c r="AO14" s="174">
        <v>8718449</v>
      </c>
      <c r="AP14" s="174">
        <f t="shared" ref="AP14:AP19" si="10">Q14</f>
        <v>8625198</v>
      </c>
      <c r="AQ14" s="174">
        <f t="shared" ref="AQ14:AQ19" si="11">U14</f>
        <v>9793676</v>
      </c>
      <c r="AR14" s="174">
        <f t="shared" ref="AR14:AR19" si="12">Y14</f>
        <v>11753412</v>
      </c>
      <c r="AS14" s="174">
        <f t="shared" ref="AS14:AS19" si="13">AC14</f>
        <v>12988130</v>
      </c>
      <c r="AT14" s="174">
        <f t="shared" ref="AT14:AT19" si="14">AG14</f>
        <v>11182214</v>
      </c>
      <c r="AU14" s="174">
        <f t="shared" ref="AU14:AU19" si="15">AK14</f>
        <v>6490358</v>
      </c>
    </row>
    <row r="15" spans="1:47" s="121" customFormat="1" ht="11.25" x14ac:dyDescent="0.2">
      <c r="A15" s="167" t="s">
        <v>106</v>
      </c>
      <c r="B15" s="168">
        <v>33775</v>
      </c>
      <c r="C15" s="168">
        <v>6799</v>
      </c>
      <c r="D15" s="168">
        <v>5379</v>
      </c>
      <c r="E15" s="168">
        <v>810350</v>
      </c>
      <c r="F15" s="168">
        <v>855667</v>
      </c>
      <c r="G15" s="168">
        <v>860958</v>
      </c>
      <c r="H15" s="168">
        <v>880077</v>
      </c>
      <c r="I15" s="168">
        <v>818590</v>
      </c>
      <c r="J15" s="168">
        <v>863541</v>
      </c>
      <c r="K15" s="168">
        <v>893998</v>
      </c>
      <c r="L15" s="169">
        <v>1022437</v>
      </c>
      <c r="M15" s="169">
        <v>815527</v>
      </c>
      <c r="N15" s="168">
        <v>718793</v>
      </c>
      <c r="O15" s="168">
        <v>748477</v>
      </c>
      <c r="P15" s="168">
        <v>720283</v>
      </c>
      <c r="Q15" s="168">
        <v>468236</v>
      </c>
      <c r="R15" s="168">
        <v>401727</v>
      </c>
      <c r="S15" s="168">
        <v>386550</v>
      </c>
      <c r="T15" s="168">
        <v>729274</v>
      </c>
      <c r="U15" s="168">
        <v>687665</v>
      </c>
      <c r="V15" s="168">
        <v>727897</v>
      </c>
      <c r="W15" s="168">
        <v>932375</v>
      </c>
      <c r="X15" s="168">
        <v>8523</v>
      </c>
      <c r="Y15" s="168">
        <v>8420</v>
      </c>
      <c r="Z15" s="168">
        <v>8545</v>
      </c>
      <c r="AA15" s="168">
        <v>8820</v>
      </c>
      <c r="AB15" s="168">
        <v>13055</v>
      </c>
      <c r="AC15" s="168">
        <v>19293</v>
      </c>
      <c r="AD15" s="168">
        <v>20404</v>
      </c>
      <c r="AE15" s="168">
        <v>17108</v>
      </c>
      <c r="AF15" s="168">
        <v>552207</v>
      </c>
      <c r="AG15" s="168">
        <v>501074</v>
      </c>
      <c r="AH15" s="168">
        <v>443478</v>
      </c>
      <c r="AI15" s="168">
        <v>465882</v>
      </c>
      <c r="AJ15" s="168">
        <v>414787</v>
      </c>
      <c r="AK15" s="168">
        <v>247448</v>
      </c>
      <c r="AL15" s="168"/>
      <c r="AM15" s="168">
        <v>810350</v>
      </c>
      <c r="AN15" s="168">
        <v>818590</v>
      </c>
      <c r="AO15" s="168">
        <v>815527</v>
      </c>
      <c r="AP15" s="168">
        <f t="shared" si="10"/>
        <v>468236</v>
      </c>
      <c r="AQ15" s="168">
        <f t="shared" si="11"/>
        <v>687665</v>
      </c>
      <c r="AR15" s="168">
        <f t="shared" si="12"/>
        <v>8420</v>
      </c>
      <c r="AS15" s="168">
        <f t="shared" si="13"/>
        <v>19293</v>
      </c>
      <c r="AT15" s="168">
        <f t="shared" si="14"/>
        <v>501074</v>
      </c>
      <c r="AU15" s="168">
        <f t="shared" si="15"/>
        <v>247448</v>
      </c>
    </row>
    <row r="16" spans="1:47" s="121" customFormat="1" ht="11.25" x14ac:dyDescent="0.2">
      <c r="A16" s="167" t="s">
        <v>107</v>
      </c>
      <c r="B16" s="168">
        <v>2586216</v>
      </c>
      <c r="C16" s="168">
        <v>3340863</v>
      </c>
      <c r="D16" s="168">
        <v>3770049</v>
      </c>
      <c r="E16" s="168">
        <v>3988128</v>
      </c>
      <c r="F16" s="168">
        <v>3984585</v>
      </c>
      <c r="G16" s="168">
        <v>4128397</v>
      </c>
      <c r="H16" s="168">
        <v>4409144</v>
      </c>
      <c r="I16" s="168">
        <v>6449877</v>
      </c>
      <c r="J16" s="168">
        <v>6969404</v>
      </c>
      <c r="K16" s="168">
        <v>7347584</v>
      </c>
      <c r="L16" s="169">
        <v>7304906</v>
      </c>
      <c r="M16" s="169">
        <v>6826139</v>
      </c>
      <c r="N16" s="168">
        <v>6031938</v>
      </c>
      <c r="O16" s="168">
        <v>6611587</v>
      </c>
      <c r="P16" s="168">
        <v>7025656</v>
      </c>
      <c r="Q16" s="168">
        <v>7316180</v>
      </c>
      <c r="R16" s="168">
        <v>7687965</v>
      </c>
      <c r="S16" s="168">
        <v>7532176</v>
      </c>
      <c r="T16" s="168">
        <v>7986898</v>
      </c>
      <c r="U16" s="168">
        <v>8382478</v>
      </c>
      <c r="V16" s="168">
        <v>9222783</v>
      </c>
      <c r="W16" s="168">
        <v>9436150</v>
      </c>
      <c r="X16" s="168">
        <v>10275196</v>
      </c>
      <c r="Y16" s="168">
        <v>10569828</v>
      </c>
      <c r="Z16" s="168">
        <v>11664334</v>
      </c>
      <c r="AA16" s="168">
        <v>10716421</v>
      </c>
      <c r="AB16" s="168">
        <v>11458385</v>
      </c>
      <c r="AC16" s="168">
        <v>11753157</v>
      </c>
      <c r="AD16" s="168">
        <v>11442403</v>
      </c>
      <c r="AE16" s="168">
        <v>10981399</v>
      </c>
      <c r="AF16" s="168">
        <v>10163384</v>
      </c>
      <c r="AG16" s="168">
        <v>10002996</v>
      </c>
      <c r="AH16" s="168">
        <v>9161990</v>
      </c>
      <c r="AI16" s="168">
        <v>9609510</v>
      </c>
      <c r="AJ16" s="168">
        <v>8259050</v>
      </c>
      <c r="AK16" s="168">
        <v>5866669</v>
      </c>
      <c r="AL16" s="168"/>
      <c r="AM16" s="168">
        <v>3988128</v>
      </c>
      <c r="AN16" s="168">
        <v>6449877</v>
      </c>
      <c r="AO16" s="168">
        <v>6826139</v>
      </c>
      <c r="AP16" s="168">
        <f t="shared" si="10"/>
        <v>7316180</v>
      </c>
      <c r="AQ16" s="168">
        <f t="shared" si="11"/>
        <v>8382478</v>
      </c>
      <c r="AR16" s="168">
        <f t="shared" si="12"/>
        <v>10569828</v>
      </c>
      <c r="AS16" s="168">
        <f t="shared" si="13"/>
        <v>11753157</v>
      </c>
      <c r="AT16" s="168">
        <f t="shared" si="14"/>
        <v>10002996</v>
      </c>
      <c r="AU16" s="168">
        <f t="shared" si="15"/>
        <v>5866669</v>
      </c>
    </row>
    <row r="17" spans="1:47" s="121" customFormat="1" ht="11.25" x14ac:dyDescent="0.2">
      <c r="A17" s="167" t="s">
        <v>108</v>
      </c>
      <c r="B17" s="168">
        <v>20370</v>
      </c>
      <c r="C17" s="168">
        <v>19796</v>
      </c>
      <c r="D17" s="168">
        <v>201859</v>
      </c>
      <c r="E17" s="168">
        <v>199030</v>
      </c>
      <c r="F17" s="168">
        <v>195467</v>
      </c>
      <c r="G17" s="168">
        <v>191223</v>
      </c>
      <c r="H17" s="168">
        <v>191948</v>
      </c>
      <c r="I17" s="168">
        <v>189084</v>
      </c>
      <c r="J17" s="168">
        <v>191090</v>
      </c>
      <c r="K17" s="168">
        <v>278391</v>
      </c>
      <c r="L17" s="169">
        <v>252813</v>
      </c>
      <c r="M17" s="169">
        <v>235283</v>
      </c>
      <c r="N17" s="168">
        <v>210751</v>
      </c>
      <c r="O17" s="168">
        <v>213440</v>
      </c>
      <c r="P17" s="168">
        <v>211031</v>
      </c>
      <c r="Q17" s="168">
        <v>203490</v>
      </c>
      <c r="R17" s="168">
        <v>201104</v>
      </c>
      <c r="S17" s="168">
        <v>189690</v>
      </c>
      <c r="T17" s="168">
        <v>186696</v>
      </c>
      <c r="U17" s="168">
        <v>181136</v>
      </c>
      <c r="V17" s="168">
        <v>181431</v>
      </c>
      <c r="W17" s="168">
        <v>176777</v>
      </c>
      <c r="X17" s="168">
        <v>172753</v>
      </c>
      <c r="Y17" s="168">
        <v>158611</v>
      </c>
      <c r="Z17" s="168">
        <v>158678</v>
      </c>
      <c r="AA17" s="168">
        <v>148457</v>
      </c>
      <c r="AB17" s="168">
        <v>146286</v>
      </c>
      <c r="AC17" s="168">
        <v>141922</v>
      </c>
      <c r="AD17" s="168">
        <v>135919</v>
      </c>
      <c r="AE17" s="168">
        <v>129115</v>
      </c>
      <c r="AF17" s="168">
        <v>121279</v>
      </c>
      <c r="AG17" s="168">
        <v>115958</v>
      </c>
      <c r="AH17" s="168">
        <v>109804</v>
      </c>
      <c r="AI17" s="168">
        <v>93118</v>
      </c>
      <c r="AJ17" s="168">
        <v>77522</v>
      </c>
      <c r="AK17" s="168">
        <v>51140</v>
      </c>
      <c r="AL17" s="168"/>
      <c r="AM17" s="168">
        <v>199030</v>
      </c>
      <c r="AN17" s="168">
        <v>189084</v>
      </c>
      <c r="AO17" s="168">
        <v>235283</v>
      </c>
      <c r="AP17" s="168">
        <f t="shared" si="10"/>
        <v>203490</v>
      </c>
      <c r="AQ17" s="168">
        <f t="shared" si="11"/>
        <v>181136</v>
      </c>
      <c r="AR17" s="168">
        <f t="shared" si="12"/>
        <v>158611</v>
      </c>
      <c r="AS17" s="168">
        <f t="shared" si="13"/>
        <v>141922</v>
      </c>
      <c r="AT17" s="168">
        <f t="shared" si="14"/>
        <v>115958</v>
      </c>
      <c r="AU17" s="168">
        <f t="shared" si="15"/>
        <v>51140</v>
      </c>
    </row>
    <row r="18" spans="1:47" s="88" customFormat="1" ht="11.25" x14ac:dyDescent="0.2">
      <c r="A18" s="167" t="s">
        <v>109</v>
      </c>
      <c r="B18" s="168">
        <v>196804</v>
      </c>
      <c r="C18" s="168">
        <v>588640</v>
      </c>
      <c r="D18" s="168">
        <v>635647</v>
      </c>
      <c r="E18" s="168">
        <v>559703</v>
      </c>
      <c r="F18" s="168">
        <v>566584</v>
      </c>
      <c r="G18" s="168">
        <v>570866</v>
      </c>
      <c r="H18" s="168">
        <v>590702</v>
      </c>
      <c r="I18" s="168">
        <v>1189459</v>
      </c>
      <c r="J18" s="168">
        <v>1241588</v>
      </c>
      <c r="K18" s="168">
        <v>1283840</v>
      </c>
      <c r="L18" s="169">
        <v>1161434</v>
      </c>
      <c r="M18" s="169">
        <v>613668</v>
      </c>
      <c r="N18" s="168">
        <v>530080</v>
      </c>
      <c r="O18" s="168">
        <v>576704</v>
      </c>
      <c r="P18" s="168">
        <v>603140</v>
      </c>
      <c r="Q18" s="168">
        <v>556636</v>
      </c>
      <c r="R18" s="168">
        <v>572175</v>
      </c>
      <c r="S18" s="168">
        <v>540818</v>
      </c>
      <c r="T18" s="168">
        <v>554070</v>
      </c>
      <c r="U18" s="168">
        <v>494654</v>
      </c>
      <c r="V18" s="168">
        <v>527790</v>
      </c>
      <c r="W18" s="168">
        <v>533954</v>
      </c>
      <c r="X18" s="168">
        <v>727928</v>
      </c>
      <c r="Y18" s="168">
        <v>760166</v>
      </c>
      <c r="Z18" s="168">
        <v>802476</v>
      </c>
      <c r="AA18" s="168">
        <v>751981</v>
      </c>
      <c r="AB18" s="168">
        <v>778068</v>
      </c>
      <c r="AC18" s="168">
        <v>786141</v>
      </c>
      <c r="AD18" s="168">
        <v>775655</v>
      </c>
      <c r="AE18" s="168">
        <v>753381</v>
      </c>
      <c r="AF18" s="168">
        <v>468463</v>
      </c>
      <c r="AG18" s="168">
        <v>463409</v>
      </c>
      <c r="AH18" s="168">
        <v>428131</v>
      </c>
      <c r="AI18" s="168">
        <v>452001</v>
      </c>
      <c r="AJ18" s="168">
        <v>391466</v>
      </c>
      <c r="AK18" s="168">
        <v>285397</v>
      </c>
      <c r="AL18" s="168"/>
      <c r="AM18" s="168">
        <v>559703</v>
      </c>
      <c r="AN18" s="168">
        <v>1189459</v>
      </c>
      <c r="AO18" s="168">
        <v>613668</v>
      </c>
      <c r="AP18" s="168">
        <f t="shared" si="10"/>
        <v>556636</v>
      </c>
      <c r="AQ18" s="168">
        <f t="shared" si="11"/>
        <v>494654</v>
      </c>
      <c r="AR18" s="168">
        <f t="shared" si="12"/>
        <v>760166</v>
      </c>
      <c r="AS18" s="168">
        <f t="shared" si="13"/>
        <v>786141</v>
      </c>
      <c r="AT18" s="168">
        <f t="shared" si="14"/>
        <v>463409</v>
      </c>
      <c r="AU18" s="168">
        <f t="shared" si="15"/>
        <v>285397</v>
      </c>
    </row>
    <row r="19" spans="1:47" s="121" customFormat="1" ht="11.25" x14ac:dyDescent="0.2">
      <c r="A19" s="170" t="s">
        <v>110</v>
      </c>
      <c r="B19" s="169">
        <v>123265</v>
      </c>
      <c r="C19" s="169">
        <v>130660</v>
      </c>
      <c r="D19" s="169">
        <v>121489</v>
      </c>
      <c r="E19" s="169">
        <v>110179</v>
      </c>
      <c r="F19" s="169">
        <v>103872</v>
      </c>
      <c r="G19" s="169">
        <v>31520</v>
      </c>
      <c r="H19" s="169">
        <v>33445</v>
      </c>
      <c r="I19" s="169">
        <v>40754</v>
      </c>
      <c r="J19" s="169">
        <v>52726</v>
      </c>
      <c r="K19" s="169">
        <v>59737</v>
      </c>
      <c r="L19" s="169">
        <v>74899</v>
      </c>
      <c r="M19" s="169">
        <v>33546</v>
      </c>
      <c r="N19" s="169">
        <v>34473</v>
      </c>
      <c r="O19" s="169">
        <v>28184</v>
      </c>
      <c r="P19" s="169">
        <v>36281</v>
      </c>
      <c r="Q19" s="169">
        <v>68457</v>
      </c>
      <c r="R19" s="169">
        <v>49112</v>
      </c>
      <c r="S19" s="169">
        <v>40891</v>
      </c>
      <c r="T19" s="169">
        <v>19973</v>
      </c>
      <c r="U19" s="169">
        <v>26356</v>
      </c>
      <c r="V19" s="169">
        <v>25343</v>
      </c>
      <c r="W19" s="169">
        <v>22486</v>
      </c>
      <c r="X19" s="169">
        <v>10438</v>
      </c>
      <c r="Y19" s="169">
        <v>19274</v>
      </c>
      <c r="Z19" s="169">
        <v>243895</v>
      </c>
      <c r="AA19" s="169">
        <v>17283</v>
      </c>
      <c r="AB19" s="169">
        <v>25358</v>
      </c>
      <c r="AC19" s="169">
        <v>38052</v>
      </c>
      <c r="AD19" s="169">
        <v>36203</v>
      </c>
      <c r="AE19" s="169">
        <v>30639</v>
      </c>
      <c r="AF19" s="169">
        <v>32419</v>
      </c>
      <c r="AG19" s="169">
        <v>40192</v>
      </c>
      <c r="AH19" s="169">
        <v>38918</v>
      </c>
      <c r="AI19" s="169">
        <v>61703</v>
      </c>
      <c r="AJ19" s="169">
        <v>54899</v>
      </c>
      <c r="AK19" s="169">
        <v>23021</v>
      </c>
      <c r="AL19" s="169"/>
      <c r="AM19" s="169">
        <v>110179</v>
      </c>
      <c r="AN19" s="169">
        <v>40754</v>
      </c>
      <c r="AO19" s="169">
        <v>33546</v>
      </c>
      <c r="AP19" s="169">
        <f t="shared" si="10"/>
        <v>68457</v>
      </c>
      <c r="AQ19" s="169">
        <f t="shared" si="11"/>
        <v>26356</v>
      </c>
      <c r="AR19" s="169">
        <f t="shared" si="12"/>
        <v>19274</v>
      </c>
      <c r="AS19" s="169">
        <f t="shared" si="13"/>
        <v>38052</v>
      </c>
      <c r="AT19" s="169">
        <f t="shared" si="14"/>
        <v>40192</v>
      </c>
      <c r="AU19" s="169">
        <f t="shared" si="15"/>
        <v>23021</v>
      </c>
    </row>
    <row r="20" spans="1:47" s="121" customFormat="1" ht="11.25" x14ac:dyDescent="0.2">
      <c r="A20" s="167" t="s">
        <v>111</v>
      </c>
      <c r="B20" s="168"/>
      <c r="C20" s="168"/>
      <c r="D20" s="168"/>
      <c r="E20" s="168"/>
      <c r="F20" s="168">
        <v>114401</v>
      </c>
      <c r="G20" s="168"/>
      <c r="H20" s="168"/>
      <c r="I20" s="168"/>
      <c r="J20" s="168"/>
      <c r="K20" s="168"/>
      <c r="L20" s="169"/>
      <c r="M20" s="169">
        <v>194286</v>
      </c>
      <c r="N20" s="168"/>
      <c r="O20" s="168"/>
      <c r="P20" s="168"/>
      <c r="Q20" s="168"/>
      <c r="AL20" s="168"/>
      <c r="AM20" s="168"/>
      <c r="AN20" s="168"/>
      <c r="AO20" s="168">
        <v>194286</v>
      </c>
      <c r="AP20" s="168"/>
      <c r="AQ20" s="168"/>
      <c r="AR20" s="168"/>
      <c r="AS20" s="168"/>
      <c r="AT20" s="168"/>
      <c r="AU20" s="168"/>
    </row>
    <row r="21" spans="1:47" s="121" customFormat="1" ht="11.25" x14ac:dyDescent="0.2">
      <c r="A21" s="170" t="s">
        <v>173</v>
      </c>
      <c r="B21" s="168"/>
      <c r="C21" s="168"/>
      <c r="D21" s="168"/>
      <c r="E21" s="168"/>
      <c r="F21" s="168"/>
      <c r="G21" s="168"/>
      <c r="H21" s="168"/>
      <c r="I21" s="168"/>
      <c r="J21" s="168"/>
      <c r="K21" s="168"/>
      <c r="L21" s="169"/>
      <c r="M21" s="169"/>
      <c r="N21" s="168"/>
      <c r="O21" s="168"/>
      <c r="P21" s="168"/>
      <c r="Q21" s="168">
        <v>12199</v>
      </c>
      <c r="R21" s="168">
        <v>25847</v>
      </c>
      <c r="S21" s="168">
        <v>22752</v>
      </c>
      <c r="T21" s="168">
        <v>31027</v>
      </c>
      <c r="U21" s="168">
        <v>21387</v>
      </c>
      <c r="V21" s="168">
        <v>27590</v>
      </c>
      <c r="W21" s="169">
        <v>37885</v>
      </c>
      <c r="X21" s="169">
        <v>245177</v>
      </c>
      <c r="Y21" s="169">
        <v>237113</v>
      </c>
      <c r="Z21" s="169">
        <v>16736</v>
      </c>
      <c r="AA21" s="169">
        <v>229839</v>
      </c>
      <c r="AB21" s="169">
        <v>239902</v>
      </c>
      <c r="AC21" s="169">
        <v>249565</v>
      </c>
      <c r="AD21" s="169">
        <v>266118</v>
      </c>
      <c r="AE21" s="169">
        <v>188982</v>
      </c>
      <c r="AF21" s="169">
        <v>49912</v>
      </c>
      <c r="AG21" s="169">
        <v>58585</v>
      </c>
      <c r="AH21" s="169">
        <v>58326</v>
      </c>
      <c r="AI21" s="169">
        <v>42707</v>
      </c>
      <c r="AJ21" s="169">
        <v>34795</v>
      </c>
      <c r="AK21" s="169">
        <v>16683</v>
      </c>
      <c r="AL21" s="168"/>
      <c r="AM21" s="168"/>
      <c r="AN21" s="168"/>
      <c r="AO21" s="168"/>
      <c r="AP21" s="168">
        <f>Q21</f>
        <v>12199</v>
      </c>
      <c r="AQ21" s="168">
        <f>U21</f>
        <v>21387</v>
      </c>
      <c r="AR21" s="168">
        <f>Y21</f>
        <v>237113</v>
      </c>
      <c r="AS21" s="168">
        <f>AC21</f>
        <v>249565</v>
      </c>
      <c r="AT21" s="168">
        <f>AG21</f>
        <v>58585</v>
      </c>
      <c r="AU21" s="168">
        <f>AK21</f>
        <v>16683</v>
      </c>
    </row>
    <row r="22" spans="1:47" s="121" customFormat="1" ht="12" thickBot="1" x14ac:dyDescent="0.25">
      <c r="A22" s="170"/>
      <c r="B22" s="168"/>
      <c r="C22" s="168"/>
      <c r="D22" s="168"/>
      <c r="E22" s="168"/>
      <c r="F22" s="168"/>
      <c r="G22" s="168"/>
      <c r="H22" s="168"/>
      <c r="I22" s="168"/>
      <c r="J22" s="168"/>
      <c r="K22" s="168"/>
      <c r="L22" s="169"/>
      <c r="M22" s="169"/>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row>
    <row r="23" spans="1:47" s="121" customFormat="1" ht="12" thickBot="1" x14ac:dyDescent="0.25">
      <c r="A23" s="85" t="s">
        <v>112</v>
      </c>
      <c r="B23" s="175">
        <v>6825039</v>
      </c>
      <c r="C23" s="175">
        <v>7374167</v>
      </c>
      <c r="D23" s="175">
        <v>8290093</v>
      </c>
      <c r="E23" s="175">
        <v>8716990</v>
      </c>
      <c r="F23" s="175">
        <v>9304547</v>
      </c>
      <c r="G23" s="175">
        <v>9411516</v>
      </c>
      <c r="H23" s="175">
        <v>10009135</v>
      </c>
      <c r="I23" s="175">
        <v>13075942</v>
      </c>
      <c r="J23" s="175">
        <v>14412634</v>
      </c>
      <c r="K23" s="175">
        <v>15112421</v>
      </c>
      <c r="L23" s="176">
        <v>16518715</v>
      </c>
      <c r="M23" s="176">
        <v>14064528</v>
      </c>
      <c r="N23" s="175">
        <v>11797205</v>
      </c>
      <c r="O23" s="175">
        <v>12339447</v>
      </c>
      <c r="P23" s="175">
        <v>12450146</v>
      </c>
      <c r="Q23" s="175">
        <v>12501944</v>
      </c>
      <c r="R23" s="175">
        <v>13028984</v>
      </c>
      <c r="S23" s="175">
        <v>12863091</v>
      </c>
      <c r="T23" s="175">
        <v>13880210</v>
      </c>
      <c r="U23" s="175">
        <v>13899025</v>
      </c>
      <c r="V23" s="175">
        <v>15150481</v>
      </c>
      <c r="W23" s="175">
        <v>15950535</v>
      </c>
      <c r="X23" s="175">
        <v>17084114</v>
      </c>
      <c r="Y23" s="175">
        <v>17257176</v>
      </c>
      <c r="Z23" s="175">
        <v>18608515</v>
      </c>
      <c r="AA23" s="175">
        <f>AA14+AA4</f>
        <v>17102795</v>
      </c>
      <c r="AB23" s="175">
        <v>18948548</v>
      </c>
      <c r="AC23" s="175">
        <v>18457520</v>
      </c>
      <c r="AD23" s="175">
        <v>18510300</v>
      </c>
      <c r="AE23" s="175">
        <f t="shared" ref="AE23:AJ23" si="16">AE14+AE4</f>
        <v>17637822</v>
      </c>
      <c r="AF23" s="175">
        <f t="shared" si="16"/>
        <v>16305424</v>
      </c>
      <c r="AG23" s="175">
        <f t="shared" si="16"/>
        <v>16284081</v>
      </c>
      <c r="AH23" s="175">
        <f t="shared" si="16"/>
        <v>15206245</v>
      </c>
      <c r="AI23" s="175">
        <f t="shared" si="16"/>
        <v>15863407</v>
      </c>
      <c r="AJ23" s="175">
        <f t="shared" si="16"/>
        <v>14013499</v>
      </c>
      <c r="AK23" s="175">
        <f t="shared" ref="AK23" si="17">AK14+AK4</f>
        <v>10405757</v>
      </c>
      <c r="AL23" s="175"/>
      <c r="AM23" s="175">
        <v>8716990</v>
      </c>
      <c r="AN23" s="175">
        <v>13075942</v>
      </c>
      <c r="AO23" s="175">
        <v>14064528</v>
      </c>
      <c r="AP23" s="175">
        <f>Q23</f>
        <v>12501944</v>
      </c>
      <c r="AQ23" s="175">
        <f>U23</f>
        <v>13899025</v>
      </c>
      <c r="AR23" s="175">
        <f>Y23</f>
        <v>17257176</v>
      </c>
      <c r="AS23" s="175">
        <f>AC23</f>
        <v>18457520</v>
      </c>
      <c r="AT23" s="175">
        <f>AG23</f>
        <v>16284081</v>
      </c>
      <c r="AU23" s="175">
        <f>AK23</f>
        <v>10405757</v>
      </c>
    </row>
    <row r="24" spans="1:47" s="117" customFormat="1" ht="11.25" x14ac:dyDescent="0.2">
      <c r="A24" s="160"/>
      <c r="B24" s="168"/>
      <c r="C24" s="168"/>
      <c r="D24" s="168"/>
      <c r="E24" s="168"/>
      <c r="F24" s="168"/>
      <c r="G24" s="168"/>
      <c r="H24" s="168"/>
      <c r="I24" s="168"/>
      <c r="J24" s="168"/>
      <c r="K24" s="168"/>
      <c r="L24" s="169"/>
      <c r="M24" s="169"/>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row>
    <row r="25" spans="1:47" s="117" customFormat="1" ht="12" thickBot="1" x14ac:dyDescent="0.25">
      <c r="A25" s="7"/>
      <c r="B25" s="30"/>
      <c r="C25" s="30"/>
      <c r="D25" s="30"/>
      <c r="E25" s="30"/>
      <c r="F25" s="30"/>
      <c r="G25" s="30"/>
      <c r="H25" s="30"/>
      <c r="I25" s="30"/>
      <c r="J25" s="30"/>
      <c r="K25" s="30"/>
      <c r="L25" s="23"/>
      <c r="M25" s="23"/>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row>
    <row r="26" spans="1:47" s="135" customFormat="1" ht="12" thickBot="1" x14ac:dyDescent="0.25">
      <c r="A26" s="85" t="s">
        <v>113</v>
      </c>
      <c r="B26" s="175"/>
      <c r="C26" s="175"/>
      <c r="D26" s="175"/>
      <c r="E26" s="175"/>
      <c r="F26" s="175"/>
      <c r="G26" s="175"/>
      <c r="H26" s="175"/>
      <c r="I26" s="175"/>
      <c r="J26" s="175"/>
      <c r="K26" s="175"/>
      <c r="L26" s="176"/>
      <c r="M26" s="176"/>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row>
    <row r="27" spans="1:47" s="88" customFormat="1" ht="11.25" x14ac:dyDescent="0.2">
      <c r="A27" s="161" t="s">
        <v>114</v>
      </c>
      <c r="B27" s="177">
        <v>539864</v>
      </c>
      <c r="C27" s="177">
        <v>892582</v>
      </c>
      <c r="D27" s="177">
        <v>1232463</v>
      </c>
      <c r="E27" s="177">
        <v>993451</v>
      </c>
      <c r="F27" s="177">
        <v>943016</v>
      </c>
      <c r="G27" s="177">
        <v>979897</v>
      </c>
      <c r="H27" s="177">
        <v>991515</v>
      </c>
      <c r="I27" s="177">
        <v>3002190</v>
      </c>
      <c r="J27" s="177">
        <v>3247665</v>
      </c>
      <c r="K27" s="177">
        <v>3516836</v>
      </c>
      <c r="L27" s="178">
        <v>3208070</v>
      </c>
      <c r="M27" s="178">
        <v>2980475</v>
      </c>
      <c r="N27" s="177">
        <v>2278646</v>
      </c>
      <c r="O27" s="177">
        <v>2264246</v>
      </c>
      <c r="P27" s="177">
        <v>1998424</v>
      </c>
      <c r="Q27" s="177">
        <v>1417212</v>
      </c>
      <c r="R27" s="177">
        <v>1533486</v>
      </c>
      <c r="S27" s="177">
        <v>1639930</v>
      </c>
      <c r="T27" s="177">
        <v>1802454</v>
      </c>
      <c r="U27" s="177">
        <v>1651796</v>
      </c>
      <c r="V27" s="177">
        <v>1831104</v>
      </c>
      <c r="W27" s="177">
        <v>2140844</v>
      </c>
      <c r="X27" s="177">
        <v>3162862</v>
      </c>
      <c r="Y27" s="177">
        <v>2939936</v>
      </c>
      <c r="Z27" s="177">
        <v>3576836</v>
      </c>
      <c r="AA27" s="177">
        <f>SUM(AA28:AA30)</f>
        <v>3578890</v>
      </c>
      <c r="AB27" s="177">
        <v>4154752</v>
      </c>
      <c r="AC27" s="177">
        <v>3302074</v>
      </c>
      <c r="AD27" s="177">
        <v>2940494</v>
      </c>
      <c r="AE27" s="177">
        <f t="shared" ref="AE27:AJ27" si="18">SUM(AE28:AE30)</f>
        <v>2646778</v>
      </c>
      <c r="AF27" s="177">
        <f t="shared" si="18"/>
        <v>1759712</v>
      </c>
      <c r="AG27" s="177">
        <f t="shared" si="18"/>
        <v>2316548</v>
      </c>
      <c r="AH27" s="177">
        <f t="shared" si="18"/>
        <v>2241832</v>
      </c>
      <c r="AI27" s="177">
        <f t="shared" si="18"/>
        <v>2306736</v>
      </c>
      <c r="AJ27" s="177">
        <f t="shared" si="18"/>
        <v>2094538</v>
      </c>
      <c r="AK27" s="177">
        <f t="shared" ref="AK27" si="19">SUM(AK28:AK30)</f>
        <v>1620079</v>
      </c>
      <c r="AL27" s="177"/>
      <c r="AM27" s="177">
        <v>993451</v>
      </c>
      <c r="AN27" s="177">
        <v>3002190</v>
      </c>
      <c r="AO27" s="177">
        <v>2980475</v>
      </c>
      <c r="AP27" s="177">
        <f>Q27</f>
        <v>1417212</v>
      </c>
      <c r="AQ27" s="177">
        <f>U27</f>
        <v>1651796</v>
      </c>
      <c r="AR27" s="177">
        <f>Y27</f>
        <v>2939936</v>
      </c>
      <c r="AS27" s="177">
        <f>AC27</f>
        <v>3302074</v>
      </c>
      <c r="AT27" s="177">
        <f>AG27</f>
        <v>2316548</v>
      </c>
      <c r="AU27" s="177">
        <f>AK27</f>
        <v>1620079</v>
      </c>
    </row>
    <row r="28" spans="1:47" s="112" customFormat="1" ht="11.25" x14ac:dyDescent="0.2">
      <c r="A28" s="167" t="s">
        <v>115</v>
      </c>
      <c r="B28" s="168">
        <v>510777</v>
      </c>
      <c r="C28" s="168">
        <v>692556</v>
      </c>
      <c r="D28" s="168">
        <v>977703</v>
      </c>
      <c r="E28" s="168">
        <v>664319</v>
      </c>
      <c r="F28" s="168">
        <v>718289</v>
      </c>
      <c r="G28" s="168">
        <v>830490</v>
      </c>
      <c r="H28" s="168">
        <v>859685</v>
      </c>
      <c r="I28" s="168">
        <v>1394934</v>
      </c>
      <c r="J28" s="168">
        <v>1220492</v>
      </c>
      <c r="K28" s="168">
        <v>1757393</v>
      </c>
      <c r="L28" s="169">
        <v>1723855</v>
      </c>
      <c r="M28" s="169">
        <v>1879213</v>
      </c>
      <c r="N28" s="168">
        <v>1162047</v>
      </c>
      <c r="O28" s="168">
        <v>1109279</v>
      </c>
      <c r="P28" s="168">
        <v>997412</v>
      </c>
      <c r="Q28" s="168">
        <v>841230</v>
      </c>
      <c r="R28" s="168">
        <v>962933</v>
      </c>
      <c r="S28" s="168">
        <v>1057660</v>
      </c>
      <c r="T28" s="168">
        <v>1171420</v>
      </c>
      <c r="U28" s="168">
        <v>1107434</v>
      </c>
      <c r="V28" s="168">
        <v>1251969</v>
      </c>
      <c r="W28" s="168">
        <v>1535014</v>
      </c>
      <c r="X28" s="168">
        <v>2098176</v>
      </c>
      <c r="Y28" s="168">
        <v>1622679</v>
      </c>
      <c r="Z28" s="168">
        <v>1783419</v>
      </c>
      <c r="AA28" s="168">
        <v>1581793</v>
      </c>
      <c r="AB28" s="168">
        <v>1712590</v>
      </c>
      <c r="AC28" s="168">
        <v>1462105</v>
      </c>
      <c r="AD28" s="168">
        <v>1411683</v>
      </c>
      <c r="AE28" s="168">
        <v>1608587</v>
      </c>
      <c r="AF28" s="168">
        <v>1103550</v>
      </c>
      <c r="AG28" s="168">
        <v>1175709</v>
      </c>
      <c r="AH28" s="168">
        <v>1067856</v>
      </c>
      <c r="AI28" s="168">
        <v>1124922</v>
      </c>
      <c r="AJ28" s="168">
        <v>1113448</v>
      </c>
      <c r="AK28" s="168">
        <v>773942</v>
      </c>
      <c r="AL28" s="168"/>
      <c r="AM28" s="168">
        <v>664319</v>
      </c>
      <c r="AN28" s="168">
        <v>1394934</v>
      </c>
      <c r="AO28" s="168">
        <v>1879213</v>
      </c>
      <c r="AP28" s="168">
        <f>Q28</f>
        <v>841230</v>
      </c>
      <c r="AQ28" s="168">
        <f>U28</f>
        <v>1107434</v>
      </c>
      <c r="AR28" s="168">
        <f>Y28</f>
        <v>1622679</v>
      </c>
      <c r="AS28" s="168">
        <f>AC28</f>
        <v>1462105</v>
      </c>
      <c r="AT28" s="168">
        <f>AG28</f>
        <v>1175709</v>
      </c>
      <c r="AU28" s="168">
        <f>AK28</f>
        <v>773942</v>
      </c>
    </row>
    <row r="29" spans="1:47" s="88" customFormat="1" ht="12" customHeight="1" x14ac:dyDescent="0.2">
      <c r="A29" s="167" t="s">
        <v>116</v>
      </c>
      <c r="B29" s="168"/>
      <c r="C29" s="168">
        <v>141800</v>
      </c>
      <c r="D29" s="168">
        <v>118663</v>
      </c>
      <c r="E29" s="168">
        <v>248782</v>
      </c>
      <c r="F29" s="168">
        <v>99333</v>
      </c>
      <c r="G29" s="168">
        <v>71841</v>
      </c>
      <c r="H29" s="168">
        <v>51565</v>
      </c>
      <c r="I29" s="168">
        <v>1536570</v>
      </c>
      <c r="J29" s="168">
        <v>1933609</v>
      </c>
      <c r="K29" s="168">
        <v>1607800</v>
      </c>
      <c r="L29" s="169">
        <v>1344975</v>
      </c>
      <c r="M29" s="169">
        <v>1079806</v>
      </c>
      <c r="N29" s="168">
        <v>1090067</v>
      </c>
      <c r="O29" s="168">
        <v>1126035</v>
      </c>
      <c r="P29" s="168">
        <v>957435</v>
      </c>
      <c r="Q29" s="168">
        <v>556563</v>
      </c>
      <c r="R29" s="168">
        <v>544279</v>
      </c>
      <c r="S29" s="168">
        <v>538904</v>
      </c>
      <c r="T29" s="168">
        <v>594709</v>
      </c>
      <c r="U29" s="168">
        <v>525559</v>
      </c>
      <c r="V29" s="168">
        <v>552766</v>
      </c>
      <c r="W29" s="168">
        <v>543755</v>
      </c>
      <c r="X29" s="168">
        <v>1030852</v>
      </c>
      <c r="Y29" s="168">
        <v>1306263</v>
      </c>
      <c r="Z29" s="168">
        <v>1780954</v>
      </c>
      <c r="AA29" s="168">
        <v>1970794</v>
      </c>
      <c r="AB29" s="168">
        <v>2433534</v>
      </c>
      <c r="AC29" s="168">
        <v>1816169</v>
      </c>
      <c r="AD29" s="168">
        <v>1484296</v>
      </c>
      <c r="AE29" s="168">
        <v>993972</v>
      </c>
      <c r="AF29" s="168">
        <v>615677</v>
      </c>
      <c r="AG29" s="168">
        <v>1119286</v>
      </c>
      <c r="AH29" s="168">
        <v>1141305</v>
      </c>
      <c r="AI29" s="168">
        <v>1157068</v>
      </c>
      <c r="AJ29" s="168">
        <v>930446</v>
      </c>
      <c r="AK29" s="168">
        <v>798608</v>
      </c>
      <c r="AL29" s="168"/>
      <c r="AM29" s="168">
        <v>248782</v>
      </c>
      <c r="AN29" s="168">
        <v>1536570</v>
      </c>
      <c r="AO29" s="168">
        <v>1079806</v>
      </c>
      <c r="AP29" s="168">
        <f>Q29</f>
        <v>556563</v>
      </c>
      <c r="AQ29" s="168">
        <f>U29</f>
        <v>525559</v>
      </c>
      <c r="AR29" s="168">
        <f>Y29</f>
        <v>1306263</v>
      </c>
      <c r="AS29" s="168">
        <f>AC29</f>
        <v>1816169</v>
      </c>
      <c r="AT29" s="168">
        <f>AG29</f>
        <v>1119286</v>
      </c>
      <c r="AU29" s="168">
        <f>AK29</f>
        <v>798608</v>
      </c>
    </row>
    <row r="30" spans="1:47" s="88" customFormat="1" ht="12" customHeight="1" x14ac:dyDescent="0.2">
      <c r="A30" s="170" t="s">
        <v>117</v>
      </c>
      <c r="B30" s="169">
        <v>29087</v>
      </c>
      <c r="C30" s="169">
        <v>58226</v>
      </c>
      <c r="D30" s="169">
        <v>136097</v>
      </c>
      <c r="E30" s="169">
        <v>80350</v>
      </c>
      <c r="F30" s="169">
        <v>84382</v>
      </c>
      <c r="G30" s="169">
        <v>77566</v>
      </c>
      <c r="H30" s="169">
        <v>80265</v>
      </c>
      <c r="I30" s="169">
        <v>70686</v>
      </c>
      <c r="J30" s="169">
        <v>93564</v>
      </c>
      <c r="K30" s="169">
        <v>151643</v>
      </c>
      <c r="L30" s="169">
        <v>139240</v>
      </c>
      <c r="M30" s="169">
        <v>10497</v>
      </c>
      <c r="N30" s="169">
        <v>26532</v>
      </c>
      <c r="O30" s="169">
        <v>28932</v>
      </c>
      <c r="P30" s="169">
        <v>43577</v>
      </c>
      <c r="Q30" s="169">
        <v>19419</v>
      </c>
      <c r="R30" s="169">
        <v>26274</v>
      </c>
      <c r="S30" s="169">
        <v>43366</v>
      </c>
      <c r="T30" s="169">
        <v>36325</v>
      </c>
      <c r="U30" s="169">
        <v>18803</v>
      </c>
      <c r="V30" s="169">
        <v>26369</v>
      </c>
      <c r="W30" s="169">
        <v>62075</v>
      </c>
      <c r="X30" s="169">
        <v>33834</v>
      </c>
      <c r="Y30" s="169">
        <v>10994</v>
      </c>
      <c r="Z30" s="169">
        <v>12463</v>
      </c>
      <c r="AA30" s="169">
        <v>26303</v>
      </c>
      <c r="AB30" s="169">
        <v>8628</v>
      </c>
      <c r="AC30" s="169">
        <v>23800</v>
      </c>
      <c r="AD30" s="169">
        <v>44515</v>
      </c>
      <c r="AE30" s="169">
        <v>44219</v>
      </c>
      <c r="AF30" s="169">
        <v>40485</v>
      </c>
      <c r="AG30" s="169">
        <v>21553</v>
      </c>
      <c r="AH30" s="169">
        <v>32671</v>
      </c>
      <c r="AI30" s="169">
        <v>24746</v>
      </c>
      <c r="AJ30" s="169">
        <v>50644</v>
      </c>
      <c r="AK30" s="169">
        <v>47529</v>
      </c>
      <c r="AL30" s="169"/>
      <c r="AM30" s="169">
        <v>80350</v>
      </c>
      <c r="AN30" s="169">
        <v>70686</v>
      </c>
      <c r="AO30" s="169">
        <v>10497</v>
      </c>
      <c r="AP30" s="169">
        <f>Q30</f>
        <v>19419</v>
      </c>
      <c r="AQ30" s="169">
        <f>U30</f>
        <v>18803</v>
      </c>
      <c r="AR30" s="169">
        <f>Y30</f>
        <v>10994</v>
      </c>
      <c r="AS30" s="169">
        <f>AC30</f>
        <v>23800</v>
      </c>
      <c r="AT30" s="169">
        <f>AG30</f>
        <v>21553</v>
      </c>
      <c r="AU30" s="169">
        <f>AK30</f>
        <v>47529</v>
      </c>
    </row>
    <row r="31" spans="1:47" s="88" customFormat="1" ht="11.25" x14ac:dyDescent="0.2">
      <c r="A31" s="167" t="s">
        <v>118</v>
      </c>
      <c r="B31" s="168"/>
      <c r="C31" s="168"/>
      <c r="D31" s="168"/>
      <c r="E31" s="168"/>
      <c r="F31" s="168">
        <v>41012</v>
      </c>
      <c r="G31" s="168"/>
      <c r="H31" s="168"/>
      <c r="I31" s="168"/>
      <c r="J31" s="168"/>
      <c r="K31" s="168"/>
      <c r="L31" s="169"/>
      <c r="M31" s="169">
        <v>10959</v>
      </c>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v>10959</v>
      </c>
      <c r="AP31" s="168"/>
      <c r="AQ31" s="168"/>
      <c r="AR31" s="168"/>
      <c r="AS31" s="168"/>
      <c r="AT31" s="168"/>
      <c r="AU31" s="168"/>
    </row>
    <row r="32" spans="1:47" s="7" customFormat="1" ht="11.25" x14ac:dyDescent="0.2">
      <c r="A32" s="167"/>
      <c r="B32" s="168"/>
      <c r="C32" s="168"/>
      <c r="D32" s="168"/>
      <c r="E32" s="168"/>
      <c r="F32" s="168"/>
      <c r="G32" s="168"/>
      <c r="H32" s="168"/>
      <c r="I32" s="168"/>
      <c r="J32" s="168"/>
      <c r="K32" s="168"/>
      <c r="L32" s="169"/>
      <c r="M32" s="169"/>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row>
    <row r="33" spans="1:47" s="7" customFormat="1" ht="11.25" x14ac:dyDescent="0.2">
      <c r="A33" s="179" t="s">
        <v>119</v>
      </c>
      <c r="B33" s="180">
        <v>422541</v>
      </c>
      <c r="C33" s="180">
        <v>508217</v>
      </c>
      <c r="D33" s="180">
        <v>605459</v>
      </c>
      <c r="E33" s="180">
        <v>780672</v>
      </c>
      <c r="F33" s="180">
        <v>818923</v>
      </c>
      <c r="G33" s="180">
        <v>596533</v>
      </c>
      <c r="H33" s="180">
        <v>639978</v>
      </c>
      <c r="I33" s="180">
        <v>975408</v>
      </c>
      <c r="J33" s="180">
        <v>1025121</v>
      </c>
      <c r="K33" s="180">
        <v>938759</v>
      </c>
      <c r="L33" s="174">
        <v>2624513</v>
      </c>
      <c r="M33" s="174">
        <v>2360984</v>
      </c>
      <c r="N33" s="180">
        <v>2111011</v>
      </c>
      <c r="O33" s="180">
        <v>2149450</v>
      </c>
      <c r="P33" s="180">
        <v>2058700</v>
      </c>
      <c r="Q33" s="180">
        <v>2474864</v>
      </c>
      <c r="R33" s="180">
        <v>2580623</v>
      </c>
      <c r="S33" s="180">
        <v>2426691</v>
      </c>
      <c r="T33" s="180">
        <v>2635980</v>
      </c>
      <c r="U33" s="180">
        <v>2693415</v>
      </c>
      <c r="V33" s="180">
        <v>2718242</v>
      </c>
      <c r="W33" s="180">
        <v>2539264</v>
      </c>
      <c r="X33" s="180">
        <v>3849420</v>
      </c>
      <c r="Y33" s="180">
        <v>4212079</v>
      </c>
      <c r="Z33" s="180">
        <v>3880491</v>
      </c>
      <c r="AA33" s="180">
        <f>SUM(AA34:AA36)</f>
        <v>3329023</v>
      </c>
      <c r="AB33" s="180">
        <v>3875199</v>
      </c>
      <c r="AC33" s="180">
        <v>4065156</v>
      </c>
      <c r="AD33" s="180">
        <v>4678138</v>
      </c>
      <c r="AE33" s="180">
        <f t="shared" ref="AE33:AJ33" si="20">SUM(AE34:AE36)</f>
        <v>4695035</v>
      </c>
      <c r="AF33" s="180">
        <f t="shared" si="20"/>
        <v>4146694</v>
      </c>
      <c r="AG33" s="180">
        <f t="shared" si="20"/>
        <v>3692724</v>
      </c>
      <c r="AH33" s="180">
        <f t="shared" si="20"/>
        <v>3361169</v>
      </c>
      <c r="AI33" s="180">
        <f t="shared" si="20"/>
        <v>3328552</v>
      </c>
      <c r="AJ33" s="180">
        <f t="shared" si="20"/>
        <v>2996652</v>
      </c>
      <c r="AK33" s="180">
        <f t="shared" ref="AK33" si="21">SUM(AK34:AK36)</f>
        <v>2462766</v>
      </c>
      <c r="AL33" s="180"/>
      <c r="AM33" s="180">
        <v>780672</v>
      </c>
      <c r="AN33" s="180">
        <v>975408</v>
      </c>
      <c r="AO33" s="180">
        <v>2360984</v>
      </c>
      <c r="AP33" s="180">
        <f>Q33</f>
        <v>2474864</v>
      </c>
      <c r="AQ33" s="180">
        <f>U33</f>
        <v>2693415</v>
      </c>
      <c r="AR33" s="180">
        <f>Y33</f>
        <v>4212079</v>
      </c>
      <c r="AS33" s="180">
        <f>AC33</f>
        <v>4065156</v>
      </c>
      <c r="AT33" s="180">
        <f>AG33</f>
        <v>3692724</v>
      </c>
      <c r="AU33" s="180">
        <f>AK33</f>
        <v>2462766</v>
      </c>
    </row>
    <row r="34" spans="1:47" s="7" customFormat="1" ht="11.25" x14ac:dyDescent="0.2">
      <c r="A34" s="167" t="s">
        <v>120</v>
      </c>
      <c r="B34" s="168"/>
      <c r="C34" s="168">
        <v>16796</v>
      </c>
      <c r="D34" s="168">
        <v>13665</v>
      </c>
      <c r="E34" s="168">
        <v>48153</v>
      </c>
      <c r="F34" s="168">
        <v>50523</v>
      </c>
      <c r="G34" s="168">
        <v>19226</v>
      </c>
      <c r="H34" s="168">
        <v>19452</v>
      </c>
      <c r="I34" s="168">
        <v>73225</v>
      </c>
      <c r="J34" s="168">
        <v>170148</v>
      </c>
      <c r="K34" s="168">
        <v>77464</v>
      </c>
      <c r="L34" s="169">
        <v>1991941</v>
      </c>
      <c r="M34" s="169">
        <v>1929772</v>
      </c>
      <c r="N34" s="171">
        <v>1709451</v>
      </c>
      <c r="O34" s="171">
        <v>1668359</v>
      </c>
      <c r="P34" s="169">
        <v>1571184</v>
      </c>
      <c r="Q34" s="169">
        <v>1938652</v>
      </c>
      <c r="R34" s="169">
        <v>1991906</v>
      </c>
      <c r="S34" s="169">
        <v>1827689</v>
      </c>
      <c r="T34" s="169">
        <v>2058608</v>
      </c>
      <c r="U34" s="169">
        <v>2098863</v>
      </c>
      <c r="V34" s="169">
        <v>2074115</v>
      </c>
      <c r="W34" s="169">
        <v>2070177</v>
      </c>
      <c r="X34" s="169">
        <v>2790963</v>
      </c>
      <c r="Y34" s="169">
        <v>3073535</v>
      </c>
      <c r="Z34" s="169">
        <v>2693315</v>
      </c>
      <c r="AA34" s="169">
        <v>2372610</v>
      </c>
      <c r="AB34" s="169">
        <v>2850077</v>
      </c>
      <c r="AC34" s="169">
        <v>2815554</v>
      </c>
      <c r="AD34" s="169">
        <v>3459342</v>
      </c>
      <c r="AE34" s="169">
        <v>3791989</v>
      </c>
      <c r="AF34" s="169">
        <v>3507880</v>
      </c>
      <c r="AG34" s="169">
        <v>3038041</v>
      </c>
      <c r="AH34" s="169">
        <v>2743367</v>
      </c>
      <c r="AI34" s="169">
        <v>2676290</v>
      </c>
      <c r="AJ34" s="169">
        <v>2355217</v>
      </c>
      <c r="AK34" s="169">
        <v>1961600</v>
      </c>
      <c r="AL34" s="168"/>
      <c r="AM34" s="168">
        <v>48153</v>
      </c>
      <c r="AN34" s="168">
        <v>73225</v>
      </c>
      <c r="AO34" s="168">
        <v>1929772</v>
      </c>
      <c r="AP34" s="168">
        <f>Q34</f>
        <v>1938652</v>
      </c>
      <c r="AQ34" s="168">
        <f>U34</f>
        <v>2098863</v>
      </c>
      <c r="AR34" s="168">
        <f>Y34</f>
        <v>3073535</v>
      </c>
      <c r="AS34" s="168">
        <f>AC34</f>
        <v>2815554</v>
      </c>
      <c r="AT34" s="168">
        <f>AG34</f>
        <v>3038041</v>
      </c>
      <c r="AU34" s="168">
        <f>AK34</f>
        <v>1961600</v>
      </c>
    </row>
    <row r="35" spans="1:47" s="7" customFormat="1" ht="11.25" x14ac:dyDescent="0.2">
      <c r="A35" s="170" t="s">
        <v>121</v>
      </c>
      <c r="B35" s="169">
        <v>311969</v>
      </c>
      <c r="C35" s="169">
        <v>421755</v>
      </c>
      <c r="D35" s="169">
        <v>536765</v>
      </c>
      <c r="E35" s="169">
        <v>537647</v>
      </c>
      <c r="F35" s="169">
        <v>552396</v>
      </c>
      <c r="G35" s="169">
        <v>563659</v>
      </c>
      <c r="H35" s="169">
        <v>592817</v>
      </c>
      <c r="I35" s="169">
        <v>585567</v>
      </c>
      <c r="J35" s="169">
        <v>538457</v>
      </c>
      <c r="K35" s="169">
        <v>551728</v>
      </c>
      <c r="L35" s="169">
        <v>509234</v>
      </c>
      <c r="M35" s="169">
        <v>296875</v>
      </c>
      <c r="N35" s="171">
        <v>288402</v>
      </c>
      <c r="O35" s="171">
        <v>358410</v>
      </c>
      <c r="P35" s="168">
        <v>371289</v>
      </c>
      <c r="Q35" s="168">
        <v>396306</v>
      </c>
      <c r="R35" s="168">
        <v>408873</v>
      </c>
      <c r="S35" s="168">
        <v>391840</v>
      </c>
      <c r="T35" s="168">
        <v>383633</v>
      </c>
      <c r="U35" s="168">
        <v>400601</v>
      </c>
      <c r="V35" s="168">
        <v>449800</v>
      </c>
      <c r="W35" s="168">
        <v>454778</v>
      </c>
      <c r="X35" s="168">
        <v>705250</v>
      </c>
      <c r="Y35" s="168">
        <v>713666</v>
      </c>
      <c r="Z35" s="168">
        <v>762420</v>
      </c>
      <c r="AA35" s="168">
        <v>690112</v>
      </c>
      <c r="AB35" s="168">
        <v>752242</v>
      </c>
      <c r="AC35" s="168">
        <v>792240</v>
      </c>
      <c r="AD35" s="168">
        <v>765283</v>
      </c>
      <c r="AE35" s="168">
        <v>745609</v>
      </c>
      <c r="AF35" s="168">
        <v>578066</v>
      </c>
      <c r="AG35" s="168">
        <v>599250</v>
      </c>
      <c r="AH35" s="168">
        <v>565694</v>
      </c>
      <c r="AI35" s="168">
        <v>601672</v>
      </c>
      <c r="AJ35" s="168">
        <v>540507</v>
      </c>
      <c r="AK35" s="168">
        <v>405122</v>
      </c>
      <c r="AM35" s="169">
        <v>537647</v>
      </c>
      <c r="AN35" s="169">
        <v>585567</v>
      </c>
      <c r="AO35" s="169">
        <v>296875</v>
      </c>
      <c r="AP35" s="169">
        <f>Q35</f>
        <v>396306</v>
      </c>
      <c r="AQ35" s="169">
        <f>U35</f>
        <v>400601</v>
      </c>
      <c r="AR35" s="169">
        <f>Y35</f>
        <v>713666</v>
      </c>
      <c r="AS35" s="169">
        <f>AC35</f>
        <v>792240</v>
      </c>
      <c r="AT35" s="169">
        <f>AG35</f>
        <v>599250</v>
      </c>
      <c r="AU35" s="169">
        <f>AK35</f>
        <v>405122</v>
      </c>
    </row>
    <row r="36" spans="1:47" s="7" customFormat="1" ht="11.25" x14ac:dyDescent="0.2">
      <c r="A36" s="170" t="s">
        <v>122</v>
      </c>
      <c r="B36" s="169">
        <v>110572</v>
      </c>
      <c r="C36" s="169">
        <v>69666</v>
      </c>
      <c r="D36" s="169">
        <v>55029</v>
      </c>
      <c r="E36" s="169">
        <v>194872</v>
      </c>
      <c r="F36" s="169">
        <v>40609</v>
      </c>
      <c r="G36" s="169">
        <v>13648</v>
      </c>
      <c r="H36" s="169">
        <v>27709</v>
      </c>
      <c r="I36" s="169">
        <v>316616</v>
      </c>
      <c r="J36" s="169">
        <v>316516</v>
      </c>
      <c r="K36" s="169">
        <v>309567</v>
      </c>
      <c r="L36" s="169">
        <v>123338</v>
      </c>
      <c r="M36" s="169">
        <v>128944</v>
      </c>
      <c r="N36" s="171">
        <v>113158</v>
      </c>
      <c r="O36" s="171">
        <v>122681</v>
      </c>
      <c r="P36" s="169">
        <v>116227</v>
      </c>
      <c r="Q36" s="169">
        <v>139906</v>
      </c>
      <c r="R36" s="169">
        <v>179844</v>
      </c>
      <c r="S36" s="169">
        <v>207162</v>
      </c>
      <c r="T36" s="169">
        <v>193739</v>
      </c>
      <c r="U36" s="169">
        <v>193951</v>
      </c>
      <c r="V36" s="169">
        <v>194327</v>
      </c>
      <c r="W36" s="169">
        <v>14309</v>
      </c>
      <c r="X36" s="169">
        <v>353207</v>
      </c>
      <c r="Y36" s="169">
        <v>424878</v>
      </c>
      <c r="Z36" s="169">
        <v>424756</v>
      </c>
      <c r="AA36" s="169">
        <v>266301</v>
      </c>
      <c r="AB36" s="169">
        <v>272880</v>
      </c>
      <c r="AC36" s="169">
        <v>457362</v>
      </c>
      <c r="AD36" s="169">
        <v>453513</v>
      </c>
      <c r="AE36" s="169">
        <v>157437</v>
      </c>
      <c r="AF36" s="169">
        <v>60748</v>
      </c>
      <c r="AG36" s="169">
        <v>55433</v>
      </c>
      <c r="AH36" s="169">
        <v>52108</v>
      </c>
      <c r="AI36" s="169">
        <v>50590</v>
      </c>
      <c r="AJ36" s="169">
        <v>100928</v>
      </c>
      <c r="AK36" s="169">
        <v>96044</v>
      </c>
      <c r="AL36" s="169"/>
      <c r="AM36" s="169">
        <v>194872</v>
      </c>
      <c r="AN36" s="169">
        <v>316616</v>
      </c>
      <c r="AO36" s="169">
        <v>128944</v>
      </c>
      <c r="AP36" s="169">
        <f>Q36</f>
        <v>139906</v>
      </c>
      <c r="AQ36" s="169">
        <f>U36</f>
        <v>193951</v>
      </c>
      <c r="AR36" s="169">
        <f>Y36</f>
        <v>424878</v>
      </c>
      <c r="AS36" s="169">
        <f>AC36</f>
        <v>457362</v>
      </c>
      <c r="AT36" s="169">
        <f>AG36</f>
        <v>55433</v>
      </c>
      <c r="AU36" s="169">
        <f>AK36</f>
        <v>96044</v>
      </c>
    </row>
    <row r="37" spans="1:47" s="88" customFormat="1" ht="11.25" x14ac:dyDescent="0.2">
      <c r="A37" s="167" t="s">
        <v>123</v>
      </c>
      <c r="B37" s="168"/>
      <c r="C37" s="168"/>
      <c r="D37" s="168"/>
      <c r="E37" s="168"/>
      <c r="F37" s="168">
        <v>175395</v>
      </c>
      <c r="G37" s="168"/>
      <c r="H37" s="168"/>
      <c r="I37" s="168"/>
      <c r="J37" s="168"/>
      <c r="K37" s="168"/>
      <c r="L37" s="169"/>
      <c r="M37" s="169">
        <v>5393</v>
      </c>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v>5393</v>
      </c>
      <c r="AP37" s="168"/>
      <c r="AQ37" s="168"/>
      <c r="AR37" s="168"/>
      <c r="AS37" s="168"/>
      <c r="AT37" s="168"/>
      <c r="AU37" s="168"/>
    </row>
    <row r="38" spans="1:47" s="88" customFormat="1" ht="11.25" x14ac:dyDescent="0.2">
      <c r="A38" s="160"/>
      <c r="B38" s="168"/>
      <c r="C38" s="168"/>
      <c r="D38" s="168"/>
      <c r="E38" s="168"/>
      <c r="F38" s="168"/>
      <c r="G38" s="168"/>
      <c r="H38" s="168"/>
      <c r="I38" s="168"/>
      <c r="J38" s="168"/>
      <c r="K38" s="168"/>
      <c r="L38" s="169"/>
      <c r="M38" s="169"/>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row>
    <row r="39" spans="1:47" s="88" customFormat="1" ht="11.25" x14ac:dyDescent="0.2">
      <c r="A39" s="181" t="s">
        <v>124</v>
      </c>
      <c r="B39" s="182">
        <v>962405</v>
      </c>
      <c r="C39" s="182">
        <v>1400799</v>
      </c>
      <c r="D39" s="182">
        <v>1837922</v>
      </c>
      <c r="E39" s="182">
        <v>1774123</v>
      </c>
      <c r="F39" s="182">
        <v>1761939</v>
      </c>
      <c r="G39" s="182">
        <v>1576430</v>
      </c>
      <c r="H39" s="182">
        <v>1631493</v>
      </c>
      <c r="I39" s="182">
        <v>3977598</v>
      </c>
      <c r="J39" s="182">
        <v>4272786</v>
      </c>
      <c r="K39" s="182">
        <v>4455595</v>
      </c>
      <c r="L39" s="183">
        <v>5832583</v>
      </c>
      <c r="M39" s="183">
        <v>5341459</v>
      </c>
      <c r="N39" s="182">
        <v>4389657</v>
      </c>
      <c r="O39" s="182">
        <v>4413696</v>
      </c>
      <c r="P39" s="182">
        <v>4057124</v>
      </c>
      <c r="Q39" s="182">
        <v>3892076</v>
      </c>
      <c r="R39" s="182">
        <v>4114109</v>
      </c>
      <c r="S39" s="182">
        <v>4066621</v>
      </c>
      <c r="T39" s="182">
        <v>4438434</v>
      </c>
      <c r="U39" s="182">
        <v>4345211</v>
      </c>
      <c r="V39" s="182">
        <v>4549346</v>
      </c>
      <c r="W39" s="182">
        <v>4680108</v>
      </c>
      <c r="X39" s="182">
        <v>7012282</v>
      </c>
      <c r="Y39" s="182">
        <v>7152015</v>
      </c>
      <c r="Z39" s="182">
        <v>7457327</v>
      </c>
      <c r="AA39" s="182">
        <f>AA27+AA33</f>
        <v>6907913</v>
      </c>
      <c r="AB39" s="182">
        <v>8029951</v>
      </c>
      <c r="AC39" s="182">
        <v>7367230</v>
      </c>
      <c r="AD39" s="182">
        <v>7618632</v>
      </c>
      <c r="AE39" s="182">
        <f t="shared" ref="AE39:AJ39" si="22">AE33+AE27</f>
        <v>7341813</v>
      </c>
      <c r="AF39" s="182">
        <f t="shared" si="22"/>
        <v>5906406</v>
      </c>
      <c r="AG39" s="182">
        <f t="shared" si="22"/>
        <v>6009272</v>
      </c>
      <c r="AH39" s="182">
        <f t="shared" si="22"/>
        <v>5603001</v>
      </c>
      <c r="AI39" s="182">
        <f t="shared" si="22"/>
        <v>5635288</v>
      </c>
      <c r="AJ39" s="182">
        <f t="shared" si="22"/>
        <v>5091190</v>
      </c>
      <c r="AK39" s="182">
        <f t="shared" ref="AK39" si="23">AK33+AK27</f>
        <v>4082845</v>
      </c>
      <c r="AL39" s="182"/>
      <c r="AM39" s="182">
        <v>1774123</v>
      </c>
      <c r="AN39" s="182">
        <v>3977598</v>
      </c>
      <c r="AO39" s="182">
        <v>5341459</v>
      </c>
      <c r="AP39" s="182">
        <f>Q39</f>
        <v>3892076</v>
      </c>
      <c r="AQ39" s="182">
        <f>U39</f>
        <v>4345211</v>
      </c>
      <c r="AR39" s="182">
        <f>Y39</f>
        <v>7152015</v>
      </c>
      <c r="AS39" s="182">
        <f>AC39</f>
        <v>7367230</v>
      </c>
      <c r="AT39" s="182">
        <f>AG39</f>
        <v>6009272</v>
      </c>
      <c r="AU39" s="182">
        <f>AK39</f>
        <v>4082845</v>
      </c>
    </row>
    <row r="40" spans="1:47" s="88" customFormat="1" ht="11.25" x14ac:dyDescent="0.2">
      <c r="A40" s="160"/>
      <c r="B40" s="168"/>
      <c r="C40" s="168"/>
      <c r="D40" s="168"/>
      <c r="E40" s="168"/>
      <c r="F40" s="168"/>
      <c r="G40" s="168"/>
      <c r="H40" s="168"/>
      <c r="I40" s="168"/>
      <c r="J40" s="168"/>
      <c r="K40" s="168"/>
      <c r="L40" s="169"/>
      <c r="M40" s="169"/>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row>
    <row r="41" spans="1:47" s="88" customFormat="1" ht="11.25" x14ac:dyDescent="0.2">
      <c r="A41" s="184" t="s">
        <v>7</v>
      </c>
      <c r="B41" s="183">
        <v>113111</v>
      </c>
      <c r="C41" s="183">
        <v>125764</v>
      </c>
      <c r="D41" s="183">
        <v>128942</v>
      </c>
      <c r="E41" s="183">
        <v>133425</v>
      </c>
      <c r="F41" s="183">
        <v>136264</v>
      </c>
      <c r="G41" s="183">
        <v>108921</v>
      </c>
      <c r="H41" s="183">
        <v>119236</v>
      </c>
      <c r="I41" s="183">
        <v>106813</v>
      </c>
      <c r="J41" s="183">
        <v>94094</v>
      </c>
      <c r="K41" s="183">
        <v>52706</v>
      </c>
      <c r="L41" s="183">
        <v>140262</v>
      </c>
      <c r="M41" s="183">
        <v>33100</v>
      </c>
      <c r="N41" s="183">
        <v>-64412</v>
      </c>
      <c r="O41" s="183">
        <v>-70908</v>
      </c>
      <c r="P41" s="183">
        <v>-89498</v>
      </c>
      <c r="Q41" s="183">
        <v>-108334</v>
      </c>
      <c r="R41" s="183">
        <v>-135617</v>
      </c>
      <c r="S41" s="183">
        <v>-118133</v>
      </c>
      <c r="T41" s="183">
        <v>-114591</v>
      </c>
      <c r="U41" s="183">
        <v>-120691</v>
      </c>
      <c r="V41" s="183">
        <v>-141201</v>
      </c>
      <c r="W41" s="183">
        <v>-143717</v>
      </c>
      <c r="X41" s="183">
        <v>-20572</v>
      </c>
      <c r="Y41" s="183">
        <v>-41863</v>
      </c>
      <c r="Z41" s="183">
        <v>-45229</v>
      </c>
      <c r="AA41" s="183">
        <v>-42373</v>
      </c>
      <c r="AB41" s="183">
        <v>-45389</v>
      </c>
      <c r="AC41" s="183">
        <v>-32874</v>
      </c>
      <c r="AD41" s="183">
        <v>6792</v>
      </c>
      <c r="AE41" s="183">
        <v>5776</v>
      </c>
      <c r="AF41" s="183">
        <v>6846</v>
      </c>
      <c r="AG41" s="183">
        <v>28057</v>
      </c>
      <c r="AH41" s="183">
        <v>24740</v>
      </c>
      <c r="AI41" s="183">
        <v>26379</v>
      </c>
      <c r="AJ41" s="183">
        <v>36159</v>
      </c>
      <c r="AK41" s="183">
        <v>14673</v>
      </c>
      <c r="AL41" s="183"/>
      <c r="AM41" s="183">
        <v>133425</v>
      </c>
      <c r="AN41" s="183">
        <v>106813</v>
      </c>
      <c r="AO41" s="183">
        <v>33100</v>
      </c>
      <c r="AP41" s="183">
        <f t="shared" ref="AP41:AP46" si="24">Q41</f>
        <v>-108334</v>
      </c>
      <c r="AQ41" s="183">
        <f t="shared" ref="AQ41:AQ46" si="25">U41</f>
        <v>-120691</v>
      </c>
      <c r="AR41" s="183">
        <f t="shared" ref="AR41:AR46" si="26">Y41</f>
        <v>-41863</v>
      </c>
      <c r="AS41" s="183">
        <f t="shared" ref="AS41:AS49" si="27">AC41</f>
        <v>-32874</v>
      </c>
      <c r="AT41" s="183">
        <f t="shared" ref="AT41:AT49" si="28">AG41</f>
        <v>28057</v>
      </c>
      <c r="AU41" s="183">
        <f t="shared" ref="AU41:AU49" si="29">AK41</f>
        <v>14673</v>
      </c>
    </row>
    <row r="42" spans="1:47" s="88" customFormat="1" ht="11.25" x14ac:dyDescent="0.2">
      <c r="A42" s="179" t="s">
        <v>125</v>
      </c>
      <c r="B42" s="180">
        <v>5749523</v>
      </c>
      <c r="C42" s="180">
        <v>5847604</v>
      </c>
      <c r="D42" s="180">
        <v>6323229</v>
      </c>
      <c r="E42" s="180">
        <v>6809442</v>
      </c>
      <c r="F42" s="180">
        <v>7406344</v>
      </c>
      <c r="G42" s="180">
        <v>7726165</v>
      </c>
      <c r="H42" s="180">
        <v>8258406</v>
      </c>
      <c r="I42" s="180">
        <v>8991531</v>
      </c>
      <c r="J42" s="180">
        <v>10045754</v>
      </c>
      <c r="K42" s="180">
        <v>10604120</v>
      </c>
      <c r="L42" s="174">
        <v>10545870</v>
      </c>
      <c r="M42" s="174">
        <v>8689969</v>
      </c>
      <c r="N42" s="180">
        <v>7471960</v>
      </c>
      <c r="O42" s="180">
        <v>7996659</v>
      </c>
      <c r="P42" s="180">
        <v>8482520</v>
      </c>
      <c r="Q42" s="180">
        <v>8718202</v>
      </c>
      <c r="R42" s="180">
        <v>9050492</v>
      </c>
      <c r="S42" s="180">
        <v>8914603</v>
      </c>
      <c r="T42" s="180">
        <v>9556367</v>
      </c>
      <c r="U42" s="180">
        <v>9674505</v>
      </c>
      <c r="V42" s="180">
        <v>10742336</v>
      </c>
      <c r="W42" s="180">
        <v>11414144</v>
      </c>
      <c r="X42" s="180">
        <v>10092404</v>
      </c>
      <c r="Y42" s="180">
        <v>10147024</v>
      </c>
      <c r="Z42" s="180">
        <v>11196417</v>
      </c>
      <c r="AA42" s="180">
        <f>SUM(AA43:AA47)</f>
        <v>10237255</v>
      </c>
      <c r="AB42" s="180">
        <v>10963986</v>
      </c>
      <c r="AC42" s="180">
        <v>11123164</v>
      </c>
      <c r="AD42" s="180">
        <v>10884876</v>
      </c>
      <c r="AE42" s="180">
        <f t="shared" ref="AE42:AJ42" si="30">SUM(AE43:AE47)</f>
        <v>10290233</v>
      </c>
      <c r="AF42" s="180">
        <f t="shared" si="30"/>
        <v>10392172</v>
      </c>
      <c r="AG42" s="180">
        <f t="shared" si="30"/>
        <v>10246752</v>
      </c>
      <c r="AH42" s="180">
        <f t="shared" si="30"/>
        <v>9578504</v>
      </c>
      <c r="AI42" s="180">
        <f t="shared" si="30"/>
        <v>10201740</v>
      </c>
      <c r="AJ42" s="180">
        <f t="shared" si="30"/>
        <v>8886150</v>
      </c>
      <c r="AK42" s="180">
        <f t="shared" ref="AK42" si="31">SUM(AK43:AK47)</f>
        <v>6308239</v>
      </c>
      <c r="AL42" s="180"/>
      <c r="AM42" s="180">
        <v>6809442</v>
      </c>
      <c r="AN42" s="180">
        <v>8991531</v>
      </c>
      <c r="AO42" s="180">
        <v>8689969</v>
      </c>
      <c r="AP42" s="180">
        <f t="shared" si="24"/>
        <v>8718202</v>
      </c>
      <c r="AQ42" s="180">
        <f t="shared" si="25"/>
        <v>9674505</v>
      </c>
      <c r="AR42" s="180">
        <f t="shared" si="26"/>
        <v>10147024</v>
      </c>
      <c r="AS42" s="180">
        <f t="shared" si="27"/>
        <v>11123164</v>
      </c>
      <c r="AT42" s="180">
        <f t="shared" si="28"/>
        <v>10246752</v>
      </c>
      <c r="AU42" s="180">
        <f t="shared" si="29"/>
        <v>6308239</v>
      </c>
    </row>
    <row r="43" spans="1:47" s="88" customFormat="1" ht="11.25" x14ac:dyDescent="0.2">
      <c r="A43" s="170" t="s">
        <v>126</v>
      </c>
      <c r="B43" s="169">
        <v>221173</v>
      </c>
      <c r="C43" s="169">
        <v>221173</v>
      </c>
      <c r="D43" s="169">
        <v>221173</v>
      </c>
      <c r="E43" s="169">
        <v>221173</v>
      </c>
      <c r="F43" s="169">
        <v>221173</v>
      </c>
      <c r="G43" s="169">
        <v>221173</v>
      </c>
      <c r="H43" s="169">
        <v>221173</v>
      </c>
      <c r="I43" s="169">
        <v>221173</v>
      </c>
      <c r="J43" s="169">
        <v>221173</v>
      </c>
      <c r="K43" s="169">
        <v>221173</v>
      </c>
      <c r="L43" s="169">
        <v>221173</v>
      </c>
      <c r="M43" s="169">
        <v>221173</v>
      </c>
      <c r="N43" s="169">
        <v>221173</v>
      </c>
      <c r="O43" s="169">
        <v>221173</v>
      </c>
      <c r="P43" s="169">
        <v>221173</v>
      </c>
      <c r="Q43" s="169">
        <v>221173</v>
      </c>
      <c r="R43" s="169">
        <v>221173</v>
      </c>
      <c r="S43" s="169">
        <v>221173</v>
      </c>
      <c r="T43" s="169">
        <v>221173</v>
      </c>
      <c r="U43" s="169">
        <v>221173</v>
      </c>
      <c r="V43" s="169">
        <v>221173</v>
      </c>
      <c r="W43" s="169">
        <v>221173</v>
      </c>
      <c r="X43" s="169">
        <v>221173</v>
      </c>
      <c r="Y43" s="169">
        <v>221173</v>
      </c>
      <c r="Z43" s="169">
        <v>221173</v>
      </c>
      <c r="AA43" s="169">
        <v>221173</v>
      </c>
      <c r="AB43" s="169">
        <v>221173</v>
      </c>
      <c r="AC43" s="169">
        <v>221173</v>
      </c>
      <c r="AD43" s="169">
        <v>221173</v>
      </c>
      <c r="AE43" s="169">
        <v>221173</v>
      </c>
      <c r="AF43" s="169">
        <v>221173</v>
      </c>
      <c r="AG43" s="169">
        <v>221173</v>
      </c>
      <c r="AH43" s="169">
        <v>221173</v>
      </c>
      <c r="AI43" s="169">
        <v>221173</v>
      </c>
      <c r="AJ43" s="169">
        <v>221173</v>
      </c>
      <c r="AK43" s="169">
        <v>221173</v>
      </c>
      <c r="AL43" s="169"/>
      <c r="AM43" s="169">
        <v>221173</v>
      </c>
      <c r="AN43" s="169">
        <v>221173</v>
      </c>
      <c r="AO43" s="169">
        <v>221173</v>
      </c>
      <c r="AP43" s="169">
        <f t="shared" si="24"/>
        <v>221173</v>
      </c>
      <c r="AQ43" s="169">
        <f t="shared" si="25"/>
        <v>221173</v>
      </c>
      <c r="AR43" s="169">
        <f t="shared" si="26"/>
        <v>221173</v>
      </c>
      <c r="AS43" s="169">
        <f t="shared" si="27"/>
        <v>221173</v>
      </c>
      <c r="AT43" s="169">
        <f t="shared" si="28"/>
        <v>221173</v>
      </c>
      <c r="AU43" s="169">
        <f t="shared" si="29"/>
        <v>221173</v>
      </c>
    </row>
    <row r="44" spans="1:47" s="88" customFormat="1" ht="11.25" x14ac:dyDescent="0.2">
      <c r="A44" s="170" t="s">
        <v>127</v>
      </c>
      <c r="B44" s="169">
        <v>10267</v>
      </c>
      <c r="C44" s="169">
        <v>10267</v>
      </c>
      <c r="D44" s="169">
        <v>10267</v>
      </c>
      <c r="E44" s="169">
        <v>10267</v>
      </c>
      <c r="F44" s="169">
        <v>10267</v>
      </c>
      <c r="G44" s="169">
        <v>10267</v>
      </c>
      <c r="H44" s="169">
        <v>10267</v>
      </c>
      <c r="I44" s="169">
        <v>10267</v>
      </c>
      <c r="J44" s="169">
        <v>10267</v>
      </c>
      <c r="K44" s="169">
        <v>10267</v>
      </c>
      <c r="L44" s="169">
        <v>10267</v>
      </c>
      <c r="M44" s="169">
        <v>10267</v>
      </c>
      <c r="N44" s="169">
        <v>10267</v>
      </c>
      <c r="O44" s="169">
        <v>10267</v>
      </c>
      <c r="P44" s="169">
        <v>10267</v>
      </c>
      <c r="Q44" s="169">
        <v>10267</v>
      </c>
      <c r="R44" s="169">
        <v>10267</v>
      </c>
      <c r="S44" s="169">
        <v>10267</v>
      </c>
      <c r="T44" s="169">
        <v>10267</v>
      </c>
      <c r="U44" s="169">
        <v>10267</v>
      </c>
      <c r="V44" s="169">
        <v>10267</v>
      </c>
      <c r="W44" s="169">
        <v>10267</v>
      </c>
      <c r="X44" s="169">
        <v>10267</v>
      </c>
      <c r="Y44" s="169">
        <v>10267</v>
      </c>
      <c r="Z44" s="169">
        <v>10267</v>
      </c>
      <c r="AA44" s="169">
        <v>10267</v>
      </c>
      <c r="AB44" s="169">
        <v>10267</v>
      </c>
      <c r="AC44" s="169">
        <v>10267</v>
      </c>
      <c r="AD44" s="169">
        <v>10267</v>
      </c>
      <c r="AE44" s="169">
        <v>10267</v>
      </c>
      <c r="AF44" s="169">
        <v>10267</v>
      </c>
      <c r="AG44" s="169">
        <v>10267</v>
      </c>
      <c r="AH44" s="169">
        <v>10267</v>
      </c>
      <c r="AI44" s="169">
        <v>10267</v>
      </c>
      <c r="AJ44" s="169">
        <v>10267</v>
      </c>
      <c r="AK44" s="169">
        <v>10267</v>
      </c>
      <c r="AL44" s="169"/>
      <c r="AM44" s="169">
        <v>10267</v>
      </c>
      <c r="AN44" s="169">
        <v>10267</v>
      </c>
      <c r="AO44" s="169">
        <v>10267</v>
      </c>
      <c r="AP44" s="169">
        <f t="shared" si="24"/>
        <v>10267</v>
      </c>
      <c r="AQ44" s="169">
        <f t="shared" si="25"/>
        <v>10267</v>
      </c>
      <c r="AR44" s="169">
        <f t="shared" si="26"/>
        <v>10267</v>
      </c>
      <c r="AS44" s="169">
        <f t="shared" si="27"/>
        <v>10267</v>
      </c>
      <c r="AT44" s="169">
        <f t="shared" si="28"/>
        <v>10267</v>
      </c>
      <c r="AU44" s="169">
        <f t="shared" si="29"/>
        <v>10267</v>
      </c>
    </row>
    <row r="45" spans="1:47" s="88" customFormat="1" ht="11.25" x14ac:dyDescent="0.2">
      <c r="A45" s="170" t="s">
        <v>128</v>
      </c>
      <c r="B45" s="169">
        <v>1812</v>
      </c>
      <c r="C45" s="169">
        <v>1812</v>
      </c>
      <c r="D45" s="169">
        <v>1812</v>
      </c>
      <c r="E45" s="169">
        <v>1812</v>
      </c>
      <c r="F45" s="169">
        <v>52395</v>
      </c>
      <c r="G45" s="169">
        <v>52395</v>
      </c>
      <c r="H45" s="169">
        <v>52395</v>
      </c>
      <c r="I45" s="169">
        <v>52395</v>
      </c>
      <c r="J45" s="169">
        <v>52395</v>
      </c>
      <c r="K45" s="169">
        <v>52395</v>
      </c>
      <c r="L45" s="169">
        <v>52395</v>
      </c>
      <c r="M45" s="169">
        <v>52395</v>
      </c>
      <c r="N45" s="169">
        <v>137740</v>
      </c>
      <c r="O45" s="169">
        <v>117896</v>
      </c>
      <c r="P45" s="169">
        <v>112450</v>
      </c>
      <c r="Q45" s="169">
        <v>112450</v>
      </c>
      <c r="R45" s="169">
        <v>112450</v>
      </c>
      <c r="S45" s="169">
        <v>98752</v>
      </c>
      <c r="T45" s="169">
        <v>98752</v>
      </c>
      <c r="U45" s="169">
        <v>98752</v>
      </c>
      <c r="V45" s="169">
        <v>98752</v>
      </c>
      <c r="W45" s="169">
        <v>306391</v>
      </c>
      <c r="X45" s="169">
        <v>306391</v>
      </c>
      <c r="Y45" s="169">
        <v>306391</v>
      </c>
      <c r="Z45" s="169">
        <v>306391</v>
      </c>
      <c r="AA45" s="169">
        <v>306391</v>
      </c>
      <c r="AB45" s="169">
        <v>306391</v>
      </c>
      <c r="AC45" s="169">
        <v>306391</v>
      </c>
      <c r="AD45" s="169">
        <v>256922</v>
      </c>
      <c r="AE45" s="169">
        <v>256922</v>
      </c>
      <c r="AF45" s="169">
        <v>256922</v>
      </c>
      <c r="AG45" s="169">
        <v>256922</v>
      </c>
      <c r="AH45" s="169">
        <v>256922</v>
      </c>
      <c r="AI45" s="169">
        <v>256922</v>
      </c>
      <c r="AJ45" s="169">
        <v>256922</v>
      </c>
      <c r="AK45" s="169">
        <v>256922</v>
      </c>
      <c r="AL45" s="169"/>
      <c r="AM45" s="169">
        <v>1812</v>
      </c>
      <c r="AN45" s="169">
        <v>52395</v>
      </c>
      <c r="AO45" s="169">
        <v>52395</v>
      </c>
      <c r="AP45" s="169">
        <f t="shared" si="24"/>
        <v>112450</v>
      </c>
      <c r="AQ45" s="169">
        <f t="shared" si="25"/>
        <v>98752</v>
      </c>
      <c r="AR45" s="169">
        <f t="shared" si="26"/>
        <v>306391</v>
      </c>
      <c r="AS45" s="169">
        <f t="shared" si="27"/>
        <v>306391</v>
      </c>
      <c r="AT45" s="169">
        <f t="shared" si="28"/>
        <v>256922</v>
      </c>
      <c r="AU45" s="169">
        <f t="shared" si="29"/>
        <v>256922</v>
      </c>
    </row>
    <row r="46" spans="1:47" s="88" customFormat="1" ht="11.25" x14ac:dyDescent="0.2">
      <c r="A46" s="170" t="s">
        <v>129</v>
      </c>
      <c r="B46" s="169">
        <v>265274</v>
      </c>
      <c r="C46" s="169">
        <v>414254</v>
      </c>
      <c r="D46" s="169">
        <v>485017</v>
      </c>
      <c r="E46" s="169">
        <v>589986</v>
      </c>
      <c r="F46" s="169">
        <v>679688</v>
      </c>
      <c r="G46" s="169">
        <v>738341</v>
      </c>
      <c r="H46" s="169">
        <v>1038272</v>
      </c>
      <c r="I46" s="169">
        <v>1181546</v>
      </c>
      <c r="J46" s="169">
        <v>1618045</v>
      </c>
      <c r="K46" s="169">
        <v>1640859</v>
      </c>
      <c r="L46" s="169">
        <v>825394</v>
      </c>
      <c r="M46" s="169">
        <v>-549879</v>
      </c>
      <c r="N46" s="169">
        <v>-1659412</v>
      </c>
      <c r="O46" s="169">
        <v>-1065769</v>
      </c>
      <c r="P46" s="169">
        <v>-738260</v>
      </c>
      <c r="Q46" s="169">
        <v>-796756</v>
      </c>
      <c r="R46" s="169">
        <v>-596017</v>
      </c>
      <c r="S46" s="169">
        <v>-1134043</v>
      </c>
      <c r="T46" s="169">
        <v>-886492</v>
      </c>
      <c r="U46" s="169">
        <v>-916901</v>
      </c>
      <c r="V46" s="169">
        <v>-241445</v>
      </c>
      <c r="W46" s="169">
        <v>-107837</v>
      </c>
      <c r="X46" s="169">
        <v>-1390631</v>
      </c>
      <c r="Y46" s="169">
        <v>-1489442</v>
      </c>
      <c r="Z46" s="169">
        <v>-612952</v>
      </c>
      <c r="AA46" s="169">
        <v>-1737722</v>
      </c>
      <c r="AB46" s="169">
        <v>-1177829</v>
      </c>
      <c r="AC46" s="169">
        <v>-997035</v>
      </c>
      <c r="AD46" s="169">
        <v>-1223752</v>
      </c>
      <c r="AE46" s="169">
        <v>-1736476</v>
      </c>
      <c r="AF46" s="169">
        <v>-1772212</v>
      </c>
      <c r="AG46" s="169">
        <v>-1897100</v>
      </c>
      <c r="AH46" s="169">
        <v>-2739233</v>
      </c>
      <c r="AI46" s="169">
        <v>-2159360</v>
      </c>
      <c r="AJ46" s="169">
        <v>-3621304</v>
      </c>
      <c r="AK46" s="169">
        <v>-6431492</v>
      </c>
      <c r="AL46" s="169"/>
      <c r="AM46" s="169">
        <v>589986</v>
      </c>
      <c r="AN46" s="169">
        <v>1181546</v>
      </c>
      <c r="AO46" s="169">
        <v>-549879</v>
      </c>
      <c r="AP46" s="169">
        <f t="shared" si="24"/>
        <v>-796756</v>
      </c>
      <c r="AQ46" s="169">
        <f t="shared" si="25"/>
        <v>-916901</v>
      </c>
      <c r="AR46" s="169">
        <f t="shared" si="26"/>
        <v>-1489442</v>
      </c>
      <c r="AS46" s="169">
        <f t="shared" si="27"/>
        <v>-997035</v>
      </c>
      <c r="AT46" s="169">
        <f t="shared" si="28"/>
        <v>-1897100</v>
      </c>
      <c r="AU46" s="169">
        <f t="shared" si="29"/>
        <v>-6431492</v>
      </c>
    </row>
    <row r="47" spans="1:47" s="88" customFormat="1" ht="11.25" x14ac:dyDescent="0.2">
      <c r="A47" s="167" t="s">
        <v>130</v>
      </c>
      <c r="B47" s="168">
        <v>5250997</v>
      </c>
      <c r="C47" s="168">
        <v>5200098</v>
      </c>
      <c r="D47" s="168">
        <v>5604960</v>
      </c>
      <c r="E47" s="168">
        <v>5986204</v>
      </c>
      <c r="F47" s="168">
        <v>6442821</v>
      </c>
      <c r="G47" s="168">
        <v>6703989</v>
      </c>
      <c r="H47" s="168">
        <v>6936299</v>
      </c>
      <c r="I47" s="168">
        <v>7526150</v>
      </c>
      <c r="J47" s="168">
        <v>8143874</v>
      </c>
      <c r="K47" s="168">
        <v>8679426</v>
      </c>
      <c r="L47" s="169">
        <v>9436641</v>
      </c>
      <c r="M47" s="169">
        <v>8956013</v>
      </c>
      <c r="N47" s="168">
        <v>8762192</v>
      </c>
      <c r="O47" s="168">
        <v>8713092</v>
      </c>
      <c r="P47" s="168">
        <v>8876890</v>
      </c>
      <c r="Q47" s="168">
        <v>9171068</v>
      </c>
      <c r="R47" s="168">
        <v>9302619</v>
      </c>
      <c r="S47" s="168">
        <v>9718454</v>
      </c>
      <c r="T47" s="168">
        <v>10112667</v>
      </c>
      <c r="U47" s="168">
        <v>10261214</v>
      </c>
      <c r="V47" s="168">
        <v>10653589</v>
      </c>
      <c r="W47" s="168">
        <v>10984150</v>
      </c>
      <c r="X47" s="168">
        <v>10945204</v>
      </c>
      <c r="Y47" s="168">
        <v>11098635</v>
      </c>
      <c r="Z47" s="168">
        <v>11271538</v>
      </c>
      <c r="AA47" s="168">
        <v>11437146</v>
      </c>
      <c r="AB47" s="168">
        <v>11603984</v>
      </c>
      <c r="AC47" s="168">
        <v>11582368</v>
      </c>
      <c r="AD47" s="168">
        <v>11620266</v>
      </c>
      <c r="AE47" s="168">
        <v>11538347</v>
      </c>
      <c r="AF47" s="168">
        <v>11676022</v>
      </c>
      <c r="AG47" s="168">
        <v>11655490</v>
      </c>
      <c r="AH47" s="168">
        <v>11829375</v>
      </c>
      <c r="AI47" s="168">
        <v>11872738</v>
      </c>
      <c r="AJ47" s="168">
        <v>12019092</v>
      </c>
      <c r="AK47" s="168">
        <v>12251369</v>
      </c>
      <c r="AL47" s="168"/>
      <c r="AM47" s="168">
        <v>5986204</v>
      </c>
      <c r="AN47" s="168">
        <v>7526150</v>
      </c>
      <c r="AO47" s="168">
        <v>8956013</v>
      </c>
      <c r="AP47" s="168">
        <f>Q47</f>
        <v>9171068</v>
      </c>
      <c r="AQ47" s="168">
        <f>U47</f>
        <v>10261214</v>
      </c>
      <c r="AR47" s="168">
        <f>Y47</f>
        <v>11098635</v>
      </c>
      <c r="AS47" s="168">
        <f t="shared" si="27"/>
        <v>11582368</v>
      </c>
      <c r="AT47" s="168">
        <f t="shared" si="28"/>
        <v>11655490</v>
      </c>
      <c r="AU47" s="168">
        <f t="shared" si="29"/>
        <v>12251369</v>
      </c>
    </row>
    <row r="48" spans="1:47" s="88" customFormat="1" ht="12" thickBot="1" x14ac:dyDescent="0.25">
      <c r="A48" s="185"/>
      <c r="B48" s="186">
        <v>5749523</v>
      </c>
      <c r="C48" s="186">
        <v>5847604</v>
      </c>
      <c r="D48" s="186">
        <v>6323229</v>
      </c>
      <c r="E48" s="186">
        <v>6809442</v>
      </c>
      <c r="F48" s="186">
        <v>7406344</v>
      </c>
      <c r="G48" s="186">
        <v>7726165</v>
      </c>
      <c r="H48" s="186">
        <v>8258406</v>
      </c>
      <c r="I48" s="186">
        <v>8991531</v>
      </c>
      <c r="J48" s="177"/>
      <c r="K48" s="177"/>
      <c r="L48" s="178"/>
      <c r="M48" s="178"/>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86">
        <v>6809442</v>
      </c>
      <c r="AN48" s="186">
        <v>8991531</v>
      </c>
      <c r="AO48" s="186"/>
      <c r="AP48" s="186"/>
      <c r="AQ48" s="186">
        <f>U48</f>
        <v>0</v>
      </c>
      <c r="AR48" s="186">
        <f>Y48</f>
        <v>0</v>
      </c>
      <c r="AS48" s="186">
        <f t="shared" si="27"/>
        <v>0</v>
      </c>
      <c r="AT48" s="186">
        <f t="shared" si="28"/>
        <v>0</v>
      </c>
      <c r="AU48" s="186">
        <f t="shared" si="29"/>
        <v>0</v>
      </c>
    </row>
    <row r="49" spans="1:47" s="88" customFormat="1" ht="12" thickBot="1" x14ac:dyDescent="0.25">
      <c r="A49" s="85" t="s">
        <v>131</v>
      </c>
      <c r="B49" s="175">
        <v>6825039</v>
      </c>
      <c r="C49" s="175">
        <v>7374167</v>
      </c>
      <c r="D49" s="175">
        <v>8290093</v>
      </c>
      <c r="E49" s="175">
        <v>8716990</v>
      </c>
      <c r="F49" s="175">
        <v>9304547</v>
      </c>
      <c r="G49" s="175">
        <v>9411516</v>
      </c>
      <c r="H49" s="175">
        <v>10009135</v>
      </c>
      <c r="I49" s="175">
        <v>13075942</v>
      </c>
      <c r="J49" s="175">
        <v>14412634</v>
      </c>
      <c r="K49" s="175">
        <v>15112421</v>
      </c>
      <c r="L49" s="176">
        <v>16518715</v>
      </c>
      <c r="M49" s="176">
        <v>14064528</v>
      </c>
      <c r="N49" s="175">
        <v>11797205</v>
      </c>
      <c r="O49" s="175">
        <v>12339447</v>
      </c>
      <c r="P49" s="175">
        <v>12450146</v>
      </c>
      <c r="Q49" s="175">
        <v>12501944</v>
      </c>
      <c r="R49" s="175">
        <v>13028984</v>
      </c>
      <c r="S49" s="175">
        <v>12863091</v>
      </c>
      <c r="T49" s="175">
        <v>13880210</v>
      </c>
      <c r="U49" s="175">
        <v>13899025</v>
      </c>
      <c r="V49" s="175">
        <v>15150481</v>
      </c>
      <c r="W49" s="175">
        <v>15950535</v>
      </c>
      <c r="X49" s="175">
        <v>17084114</v>
      </c>
      <c r="Y49" s="175">
        <v>17257176</v>
      </c>
      <c r="Z49" s="175">
        <v>18608515</v>
      </c>
      <c r="AA49" s="175">
        <f>AA39+AA41+AA42</f>
        <v>17102795</v>
      </c>
      <c r="AB49" s="175">
        <v>18948548</v>
      </c>
      <c r="AC49" s="175">
        <v>18457520</v>
      </c>
      <c r="AD49" s="175">
        <v>18510300</v>
      </c>
      <c r="AE49" s="175">
        <f t="shared" ref="AE49:AJ49" si="32">AE41+AE42+AE39</f>
        <v>17637822</v>
      </c>
      <c r="AF49" s="175">
        <f t="shared" si="32"/>
        <v>16305424</v>
      </c>
      <c r="AG49" s="175">
        <f t="shared" si="32"/>
        <v>16284081</v>
      </c>
      <c r="AH49" s="175">
        <f t="shared" si="32"/>
        <v>15206245</v>
      </c>
      <c r="AI49" s="175">
        <f t="shared" si="32"/>
        <v>15863407</v>
      </c>
      <c r="AJ49" s="175">
        <f t="shared" si="32"/>
        <v>14013499</v>
      </c>
      <c r="AK49" s="175">
        <f t="shared" ref="AK49" si="33">AK41+AK42+AK39</f>
        <v>10405757</v>
      </c>
      <c r="AL49" s="175"/>
      <c r="AM49" s="175">
        <v>8716990</v>
      </c>
      <c r="AN49" s="175">
        <v>13075942</v>
      </c>
      <c r="AO49" s="175">
        <v>14064528</v>
      </c>
      <c r="AP49" s="175">
        <f>Q49</f>
        <v>12501944</v>
      </c>
      <c r="AQ49" s="175">
        <f>U49</f>
        <v>13899025</v>
      </c>
      <c r="AR49" s="175">
        <f>Y49</f>
        <v>17257176</v>
      </c>
      <c r="AS49" s="175">
        <f t="shared" si="27"/>
        <v>18457520</v>
      </c>
      <c r="AT49" s="175">
        <f t="shared" si="28"/>
        <v>16284081</v>
      </c>
      <c r="AU49" s="175">
        <f t="shared" si="29"/>
        <v>10405757</v>
      </c>
    </row>
    <row r="50" spans="1:47" s="88" customFormat="1" ht="12" thickBot="1" x14ac:dyDescent="0.25">
      <c r="B50" s="187"/>
      <c r="C50" s="187"/>
      <c r="D50" s="187"/>
      <c r="E50" s="187"/>
      <c r="F50" s="187"/>
      <c r="G50" s="187"/>
      <c r="H50" s="187"/>
      <c r="I50" s="187"/>
      <c r="J50" s="187"/>
      <c r="K50" s="187"/>
      <c r="L50" s="188"/>
      <c r="M50" s="188"/>
      <c r="N50" s="187"/>
      <c r="O50" s="187"/>
      <c r="P50" s="187"/>
      <c r="Q50" s="187"/>
      <c r="R50" s="187"/>
      <c r="S50" s="187"/>
      <c r="T50" s="187"/>
      <c r="U50" s="187"/>
      <c r="V50" s="187"/>
      <c r="W50" s="281"/>
      <c r="X50" s="281"/>
      <c r="Y50" s="281"/>
      <c r="Z50" s="281"/>
      <c r="AA50" s="281"/>
      <c r="AB50" s="281"/>
      <c r="AC50" s="281"/>
      <c r="AD50" s="281"/>
      <c r="AE50" s="281"/>
      <c r="AF50" s="281"/>
      <c r="AG50" s="281"/>
      <c r="AH50" s="281"/>
      <c r="AI50" s="281"/>
      <c r="AJ50" s="281"/>
      <c r="AK50" s="281"/>
      <c r="AL50" s="187"/>
      <c r="AM50" s="187"/>
      <c r="AN50" s="187"/>
      <c r="AO50" s="187"/>
      <c r="AP50" s="187"/>
      <c r="AQ50" s="187"/>
      <c r="AR50" s="187"/>
      <c r="AS50" s="187"/>
      <c r="AT50" s="187"/>
      <c r="AU50" s="187"/>
    </row>
    <row r="51" spans="1:47" s="88" customFormat="1" ht="12" thickBot="1" x14ac:dyDescent="0.25">
      <c r="A51" s="85" t="s">
        <v>9</v>
      </c>
      <c r="B51" s="175">
        <v>-2294156</v>
      </c>
      <c r="C51" s="175">
        <v>-1247783</v>
      </c>
      <c r="D51" s="175">
        <v>-1263370</v>
      </c>
      <c r="E51" s="175">
        <v>-405539</v>
      </c>
      <c r="F51" s="175">
        <v>-785125</v>
      </c>
      <c r="G51" s="175">
        <v>-1394199</v>
      </c>
      <c r="H51" s="175">
        <v>-1461858</v>
      </c>
      <c r="I51" s="175">
        <v>301692</v>
      </c>
      <c r="J51" s="175">
        <v>745520</v>
      </c>
      <c r="K51" s="175">
        <v>179109</v>
      </c>
      <c r="L51" s="176">
        <v>587399</v>
      </c>
      <c r="M51" s="176">
        <v>841500</v>
      </c>
      <c r="N51" s="175">
        <v>915072</v>
      </c>
      <c r="O51" s="175">
        <v>736541</v>
      </c>
      <c r="P51" s="175">
        <v>760586</v>
      </c>
      <c r="Q51" s="175">
        <v>796257</v>
      </c>
      <c r="R51" s="175">
        <v>954659</v>
      </c>
      <c r="S51" s="175">
        <v>948475</v>
      </c>
      <c r="T51" s="175">
        <v>1147737</v>
      </c>
      <c r="U51" s="175">
        <v>1453800</v>
      </c>
      <c r="V51" s="175">
        <v>1384219</v>
      </c>
      <c r="W51" s="175">
        <f t="shared" ref="W51:AG51" si="34">W29+W34-W5-W6</f>
        <v>1500449</v>
      </c>
      <c r="X51" s="175">
        <f t="shared" si="34"/>
        <v>2932931</v>
      </c>
      <c r="Y51" s="175">
        <f t="shared" si="34"/>
        <v>3355350</v>
      </c>
      <c r="Z51" s="175">
        <f t="shared" si="34"/>
        <v>3537768</v>
      </c>
      <c r="AA51" s="175">
        <f t="shared" si="34"/>
        <v>3563749</v>
      </c>
      <c r="AB51" s="175">
        <f t="shared" si="34"/>
        <v>3470000</v>
      </c>
      <c r="AC51" s="175">
        <f t="shared" si="34"/>
        <v>3573570</v>
      </c>
      <c r="AD51" s="175">
        <f t="shared" si="34"/>
        <v>3452618</v>
      </c>
      <c r="AE51" s="175">
        <f t="shared" si="34"/>
        <v>3424022</v>
      </c>
      <c r="AF51" s="175">
        <f t="shared" si="34"/>
        <v>2772096</v>
      </c>
      <c r="AG51" s="175">
        <f t="shared" si="34"/>
        <v>2702354</v>
      </c>
      <c r="AH51" s="175">
        <f>AH29+AH34-AH5-AH6</f>
        <v>2301249</v>
      </c>
      <c r="AI51" s="175">
        <f>AI29+AI34-AI5-AI6</f>
        <v>2102667</v>
      </c>
      <c r="AJ51" s="175">
        <f>AJ29+AJ34-AJ5-AJ6</f>
        <v>1803044</v>
      </c>
      <c r="AK51" s="175">
        <f>AK29+AK34-AK5-AK6</f>
        <v>1589744</v>
      </c>
      <c r="AL51" s="175"/>
      <c r="AM51" s="175">
        <v>-405539</v>
      </c>
      <c r="AN51" s="175">
        <v>301692</v>
      </c>
      <c r="AO51" s="175">
        <v>841500</v>
      </c>
      <c r="AP51" s="175">
        <f>Q51</f>
        <v>796257</v>
      </c>
      <c r="AQ51" s="175">
        <f>U51</f>
        <v>1453800</v>
      </c>
      <c r="AR51" s="175">
        <f>Y51</f>
        <v>3355350</v>
      </c>
      <c r="AS51" s="175">
        <f>AC51</f>
        <v>3573570</v>
      </c>
      <c r="AT51" s="175">
        <f>AT29+AT34-AT5-AT6</f>
        <v>2702354</v>
      </c>
      <c r="AU51" s="175">
        <f>AU29+AU34-AU5-AU6</f>
        <v>1589744</v>
      </c>
    </row>
    <row r="52" spans="1:47" s="88" customFormat="1" ht="11.25" x14ac:dyDescent="0.2">
      <c r="B52" s="111"/>
      <c r="C52" s="92"/>
      <c r="D52" s="92"/>
      <c r="E52" s="92"/>
      <c r="F52" s="92"/>
      <c r="G52" s="7"/>
      <c r="H52" s="7"/>
      <c r="I52" s="7"/>
      <c r="J52" s="92"/>
      <c r="K52" s="92"/>
      <c r="L52" s="189"/>
      <c r="M52" s="189"/>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7"/>
    </row>
    <row r="53" spans="1:47" s="88" customFormat="1" ht="11.25" x14ac:dyDescent="0.2">
      <c r="B53" s="190"/>
      <c r="C53" s="92"/>
      <c r="D53" s="92"/>
      <c r="E53" s="92"/>
      <c r="F53" s="92"/>
      <c r="G53" s="7"/>
      <c r="H53" s="7"/>
      <c r="I53" s="7"/>
      <c r="J53" s="92"/>
      <c r="K53" s="92"/>
      <c r="L53" s="189"/>
      <c r="M53" s="191"/>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7"/>
    </row>
    <row r="54" spans="1:47" s="88" customFormat="1" ht="11.25" x14ac:dyDescent="0.2">
      <c r="B54" s="111"/>
      <c r="C54" s="92"/>
      <c r="D54" s="92"/>
      <c r="E54" s="92"/>
      <c r="F54" s="92"/>
      <c r="G54" s="7"/>
      <c r="H54" s="7"/>
      <c r="I54" s="7"/>
      <c r="J54" s="92"/>
      <c r="K54" s="92"/>
      <c r="L54" s="189"/>
      <c r="M54" s="189"/>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7"/>
      <c r="AT54" s="327"/>
    </row>
    <row r="55" spans="1:47" s="88" customFormat="1" ht="11.25" x14ac:dyDescent="0.2">
      <c r="B55" s="111"/>
      <c r="C55" s="92"/>
      <c r="D55" s="92"/>
      <c r="E55" s="92"/>
      <c r="F55" s="92"/>
      <c r="G55" s="7"/>
      <c r="H55" s="7"/>
      <c r="I55" s="7"/>
      <c r="J55" s="92"/>
      <c r="K55" s="92"/>
      <c r="L55" s="189"/>
      <c r="M55" s="189"/>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7"/>
    </row>
    <row r="56" spans="1:47" s="88" customFormat="1" ht="11.25" x14ac:dyDescent="0.2">
      <c r="B56" s="111"/>
      <c r="C56" s="92"/>
      <c r="D56" s="92"/>
      <c r="E56" s="92"/>
      <c r="F56" s="92"/>
      <c r="G56" s="7"/>
      <c r="H56" s="7"/>
      <c r="I56" s="7"/>
      <c r="J56" s="92"/>
      <c r="K56" s="92"/>
      <c r="L56" s="189"/>
      <c r="M56" s="189"/>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7"/>
    </row>
    <row r="57" spans="1:47" s="88" customFormat="1" ht="11.25" x14ac:dyDescent="0.2">
      <c r="B57" s="111"/>
      <c r="C57" s="92"/>
      <c r="D57" s="92"/>
      <c r="E57" s="92"/>
      <c r="F57" s="92"/>
      <c r="G57" s="7"/>
      <c r="H57" s="7"/>
      <c r="I57" s="7"/>
      <c r="J57" s="92"/>
      <c r="K57" s="92"/>
      <c r="L57" s="189"/>
      <c r="M57" s="189"/>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7"/>
    </row>
    <row r="58" spans="1:47" s="88" customFormat="1" ht="11.25" x14ac:dyDescent="0.2">
      <c r="A58" s="7"/>
      <c r="B58" s="92"/>
      <c r="C58" s="92"/>
      <c r="D58" s="92"/>
      <c r="E58" s="92"/>
      <c r="F58" s="92"/>
      <c r="G58" s="7"/>
      <c r="H58" s="7"/>
      <c r="I58" s="7"/>
      <c r="J58" s="92"/>
      <c r="K58" s="92"/>
      <c r="L58" s="189"/>
      <c r="M58" s="189"/>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7"/>
    </row>
    <row r="59" spans="1:47" s="88" customFormat="1" ht="11.25" x14ac:dyDescent="0.2">
      <c r="A59" s="7"/>
      <c r="B59" s="92"/>
      <c r="C59" s="92"/>
      <c r="D59" s="92"/>
      <c r="E59" s="92"/>
      <c r="F59" s="92"/>
      <c r="G59" s="7"/>
      <c r="H59" s="7"/>
      <c r="I59" s="7"/>
      <c r="J59" s="92"/>
      <c r="K59" s="92"/>
      <c r="L59" s="189"/>
      <c r="M59" s="189"/>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7"/>
    </row>
    <row r="60" spans="1:47" s="88" customFormat="1" ht="11.25" x14ac:dyDescent="0.2">
      <c r="A60" s="7"/>
      <c r="B60" s="92"/>
      <c r="C60" s="92"/>
      <c r="D60" s="92"/>
      <c r="E60" s="92"/>
      <c r="F60" s="92"/>
      <c r="G60" s="7"/>
      <c r="H60" s="7"/>
      <c r="I60" s="7"/>
      <c r="J60" s="92"/>
      <c r="K60" s="92"/>
      <c r="L60" s="189"/>
      <c r="M60" s="189"/>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7"/>
    </row>
    <row r="61" spans="1:47" s="88" customFormat="1" ht="11.25" x14ac:dyDescent="0.2">
      <c r="B61" s="111"/>
      <c r="C61" s="92"/>
      <c r="D61" s="92"/>
      <c r="E61" s="92"/>
      <c r="F61" s="92"/>
      <c r="G61" s="7"/>
      <c r="H61" s="7"/>
      <c r="I61" s="7"/>
      <c r="J61" s="92"/>
      <c r="K61" s="92"/>
      <c r="L61" s="189"/>
      <c r="M61" s="189"/>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7"/>
    </row>
    <row r="62" spans="1:47" x14ac:dyDescent="0.2">
      <c r="A62" s="1"/>
      <c r="C62" s="94"/>
      <c r="D62" s="94"/>
      <c r="E62" s="94"/>
      <c r="F62" s="94"/>
      <c r="G62" s="50"/>
      <c r="H62" s="50"/>
      <c r="I62" s="50"/>
      <c r="J62" s="94"/>
      <c r="K62" s="94"/>
      <c r="L62" s="192"/>
      <c r="M62" s="192"/>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50"/>
    </row>
    <row r="63" spans="1:47" x14ac:dyDescent="0.2">
      <c r="A63" s="1"/>
      <c r="C63" s="94"/>
      <c r="D63" s="94"/>
      <c r="E63" s="94"/>
      <c r="F63" s="94"/>
      <c r="G63" s="50"/>
      <c r="H63" s="50"/>
      <c r="I63" s="50"/>
      <c r="J63" s="94"/>
      <c r="K63" s="94"/>
      <c r="L63" s="192"/>
      <c r="M63" s="192"/>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50"/>
    </row>
    <row r="64" spans="1:47" x14ac:dyDescent="0.2">
      <c r="A64" s="1"/>
      <c r="C64" s="94"/>
      <c r="D64" s="94"/>
      <c r="E64" s="94"/>
      <c r="F64" s="94"/>
      <c r="G64" s="50"/>
      <c r="H64" s="50"/>
      <c r="I64" s="50"/>
      <c r="J64" s="94"/>
      <c r="K64" s="94"/>
      <c r="L64" s="192"/>
      <c r="M64" s="192"/>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50"/>
    </row>
    <row r="65" spans="1:39" x14ac:dyDescent="0.2">
      <c r="A65" s="1"/>
      <c r="C65" s="94"/>
      <c r="D65" s="94"/>
      <c r="E65" s="94"/>
      <c r="F65" s="94"/>
      <c r="G65" s="50"/>
      <c r="H65" s="50"/>
      <c r="I65" s="50"/>
      <c r="J65" s="94"/>
      <c r="K65" s="94"/>
      <c r="L65" s="192"/>
      <c r="M65" s="192"/>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50"/>
    </row>
    <row r="66" spans="1:39" x14ac:dyDescent="0.2">
      <c r="A66" s="1"/>
      <c r="C66" s="94"/>
      <c r="D66" s="94"/>
      <c r="E66" s="94"/>
      <c r="F66" s="94"/>
      <c r="G66" s="50"/>
      <c r="H66" s="50"/>
      <c r="I66" s="50"/>
      <c r="J66" s="94"/>
      <c r="K66" s="94"/>
      <c r="L66" s="192"/>
      <c r="M66" s="192"/>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50"/>
    </row>
    <row r="67" spans="1:39" x14ac:dyDescent="0.2">
      <c r="A67" s="1"/>
      <c r="C67" s="94"/>
      <c r="D67" s="94"/>
      <c r="E67" s="94"/>
      <c r="F67" s="94"/>
      <c r="G67" s="50"/>
      <c r="H67" s="50"/>
      <c r="I67" s="50"/>
      <c r="J67" s="94"/>
      <c r="K67" s="94"/>
      <c r="L67" s="192"/>
      <c r="M67" s="192"/>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50"/>
    </row>
    <row r="68" spans="1:39" x14ac:dyDescent="0.2">
      <c r="A68" s="1"/>
      <c r="C68" s="94"/>
      <c r="D68" s="94"/>
      <c r="E68" s="94"/>
      <c r="F68" s="94"/>
      <c r="G68" s="50"/>
      <c r="H68" s="50"/>
      <c r="I68" s="50"/>
      <c r="J68" s="94"/>
      <c r="K68" s="94"/>
      <c r="L68" s="192"/>
      <c r="M68" s="192"/>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50"/>
    </row>
    <row r="69" spans="1:39" x14ac:dyDescent="0.2">
      <c r="A69" s="1"/>
      <c r="C69" s="94"/>
      <c r="D69" s="94"/>
      <c r="E69" s="94"/>
      <c r="F69" s="94"/>
      <c r="G69" s="50"/>
      <c r="H69" s="50"/>
      <c r="I69" s="50"/>
      <c r="J69" s="94"/>
      <c r="K69" s="94"/>
      <c r="L69" s="192"/>
      <c r="M69" s="192"/>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50"/>
    </row>
    <row r="70" spans="1:39" x14ac:dyDescent="0.2">
      <c r="A70" s="1"/>
      <c r="C70" s="94"/>
      <c r="D70" s="94"/>
      <c r="E70" s="94"/>
      <c r="F70" s="94"/>
      <c r="G70" s="50"/>
      <c r="H70" s="50"/>
      <c r="I70" s="50"/>
      <c r="J70" s="94"/>
      <c r="K70" s="94"/>
      <c r="L70" s="192"/>
      <c r="M70" s="192"/>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50"/>
    </row>
    <row r="71" spans="1:39" x14ac:dyDescent="0.2">
      <c r="A71" s="1"/>
      <c r="C71" s="94"/>
      <c r="D71" s="94"/>
      <c r="E71" s="94"/>
      <c r="F71" s="94"/>
      <c r="G71" s="50"/>
      <c r="H71" s="50"/>
      <c r="I71" s="50"/>
      <c r="J71" s="94"/>
      <c r="K71" s="94"/>
      <c r="L71" s="192"/>
      <c r="M71" s="192"/>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50"/>
    </row>
    <row r="72" spans="1:39" x14ac:dyDescent="0.2">
      <c r="A72" s="50"/>
      <c r="C72" s="94"/>
      <c r="D72" s="94"/>
      <c r="E72" s="94"/>
      <c r="F72" s="94"/>
      <c r="G72" s="50"/>
      <c r="H72" s="50"/>
      <c r="I72" s="50"/>
      <c r="J72" s="94"/>
      <c r="K72" s="94"/>
      <c r="L72" s="192"/>
      <c r="M72" s="192"/>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50"/>
    </row>
    <row r="73" spans="1:39" x14ac:dyDescent="0.2">
      <c r="A73" s="50"/>
      <c r="C73" s="94"/>
      <c r="D73" s="94"/>
      <c r="E73" s="94"/>
      <c r="F73" s="94"/>
      <c r="G73" s="50"/>
      <c r="H73" s="50"/>
      <c r="I73" s="50"/>
      <c r="J73" s="94"/>
      <c r="K73" s="94"/>
      <c r="L73" s="192"/>
      <c r="M73" s="192"/>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50"/>
    </row>
    <row r="74" spans="1:39" x14ac:dyDescent="0.2">
      <c r="A74" s="1"/>
      <c r="C74" s="94"/>
      <c r="D74" s="94"/>
      <c r="E74" s="94"/>
      <c r="F74" s="94"/>
      <c r="G74" s="50"/>
      <c r="H74" s="50"/>
      <c r="I74" s="50"/>
      <c r="J74" s="94"/>
      <c r="K74" s="94"/>
      <c r="L74" s="192"/>
      <c r="M74" s="192"/>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50"/>
    </row>
    <row r="75" spans="1:39" x14ac:dyDescent="0.2">
      <c r="A75" s="1"/>
      <c r="C75" s="94"/>
      <c r="D75" s="94"/>
      <c r="E75" s="94"/>
      <c r="F75" s="94"/>
      <c r="G75" s="50"/>
      <c r="H75" s="50"/>
      <c r="I75" s="50"/>
      <c r="J75" s="94"/>
      <c r="K75" s="94"/>
      <c r="L75" s="192"/>
      <c r="M75" s="192"/>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50"/>
    </row>
    <row r="76" spans="1:39" x14ac:dyDescent="0.2">
      <c r="A76" s="1"/>
      <c r="C76" s="94"/>
      <c r="D76" s="94"/>
      <c r="E76" s="94"/>
      <c r="F76" s="94"/>
      <c r="G76" s="50"/>
      <c r="H76" s="50"/>
      <c r="I76" s="50"/>
      <c r="J76" s="94"/>
      <c r="K76" s="94"/>
      <c r="L76" s="192"/>
      <c r="M76" s="192"/>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50"/>
    </row>
    <row r="77" spans="1:39" x14ac:dyDescent="0.2">
      <c r="A77" s="1"/>
      <c r="C77" s="94"/>
      <c r="D77" s="94"/>
      <c r="E77" s="94"/>
      <c r="F77" s="94"/>
      <c r="G77" s="50"/>
      <c r="H77" s="50"/>
      <c r="I77" s="50"/>
      <c r="J77" s="94"/>
      <c r="K77" s="94"/>
      <c r="L77" s="192"/>
      <c r="M77" s="192"/>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50"/>
    </row>
    <row r="78" spans="1:39" x14ac:dyDescent="0.2">
      <c r="A78" s="1"/>
      <c r="C78" s="94"/>
      <c r="D78" s="94"/>
      <c r="E78" s="94"/>
      <c r="F78" s="94"/>
      <c r="G78" s="50"/>
      <c r="H78" s="50"/>
      <c r="I78" s="50"/>
      <c r="J78" s="94"/>
      <c r="K78" s="94"/>
      <c r="L78" s="192"/>
      <c r="M78" s="192"/>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50"/>
    </row>
    <row r="79" spans="1:39" x14ac:dyDescent="0.2">
      <c r="A79" s="1"/>
      <c r="C79" s="94"/>
      <c r="D79" s="94"/>
      <c r="E79" s="94"/>
      <c r="F79" s="94"/>
      <c r="G79" s="50"/>
      <c r="H79" s="50"/>
      <c r="I79" s="50"/>
      <c r="J79" s="94"/>
      <c r="K79" s="94"/>
      <c r="L79" s="192"/>
      <c r="M79" s="192"/>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50"/>
    </row>
    <row r="80" spans="1:39" x14ac:dyDescent="0.2">
      <c r="A80" s="1"/>
      <c r="C80" s="94"/>
      <c r="D80" s="94"/>
      <c r="E80" s="94"/>
      <c r="F80" s="94"/>
      <c r="G80" s="50"/>
      <c r="H80" s="50"/>
      <c r="I80" s="50"/>
      <c r="J80" s="94"/>
      <c r="K80" s="94"/>
      <c r="L80" s="192"/>
      <c r="M80" s="192"/>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50"/>
    </row>
    <row r="81" spans="1:39" x14ac:dyDescent="0.2">
      <c r="A81" s="1"/>
      <c r="C81" s="94"/>
      <c r="D81" s="94"/>
      <c r="E81" s="94"/>
      <c r="F81" s="94"/>
      <c r="G81" s="50"/>
      <c r="H81" s="50"/>
      <c r="I81" s="50"/>
      <c r="J81" s="94"/>
      <c r="K81" s="94"/>
      <c r="L81" s="192"/>
      <c r="M81" s="192"/>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50"/>
    </row>
    <row r="82" spans="1:39" x14ac:dyDescent="0.2">
      <c r="A82" s="1"/>
      <c r="C82" s="94"/>
      <c r="D82" s="94"/>
      <c r="E82" s="94"/>
      <c r="F82" s="94"/>
      <c r="G82" s="50"/>
      <c r="H82" s="50"/>
      <c r="I82" s="50"/>
      <c r="J82" s="94"/>
      <c r="K82" s="94"/>
      <c r="L82" s="192"/>
      <c r="M82" s="192"/>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50"/>
    </row>
    <row r="83" spans="1:39" x14ac:dyDescent="0.2">
      <c r="A83" s="1"/>
      <c r="C83" s="94"/>
      <c r="D83" s="94"/>
      <c r="E83" s="94"/>
      <c r="F83" s="94"/>
      <c r="G83" s="50"/>
      <c r="H83" s="50"/>
      <c r="I83" s="50"/>
      <c r="J83" s="94"/>
      <c r="K83" s="94"/>
      <c r="L83" s="192"/>
      <c r="M83" s="192"/>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50"/>
    </row>
    <row r="84" spans="1:39" x14ac:dyDescent="0.2">
      <c r="A84" s="1"/>
      <c r="C84" s="94"/>
      <c r="D84" s="94"/>
      <c r="E84" s="94"/>
      <c r="F84" s="94"/>
      <c r="G84" s="50"/>
      <c r="H84" s="50"/>
      <c r="I84" s="50"/>
      <c r="J84" s="94"/>
      <c r="K84" s="94"/>
      <c r="L84" s="192"/>
      <c r="M84" s="192"/>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50"/>
    </row>
    <row r="85" spans="1:39" x14ac:dyDescent="0.2">
      <c r="A85" s="1"/>
      <c r="C85" s="94"/>
      <c r="D85" s="94"/>
      <c r="E85" s="94"/>
      <c r="F85" s="94"/>
      <c r="G85" s="50"/>
      <c r="H85" s="50"/>
      <c r="I85" s="50"/>
      <c r="J85" s="94"/>
      <c r="K85" s="94"/>
      <c r="L85" s="192"/>
      <c r="M85" s="192"/>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50"/>
    </row>
    <row r="86" spans="1:39" x14ac:dyDescent="0.2">
      <c r="A86" s="1"/>
      <c r="C86" s="94"/>
      <c r="D86" s="94"/>
      <c r="E86" s="94"/>
      <c r="F86" s="94"/>
      <c r="G86" s="50"/>
      <c r="H86" s="50"/>
      <c r="I86" s="50"/>
      <c r="J86" s="94"/>
      <c r="K86" s="94"/>
      <c r="L86" s="192"/>
      <c r="M86" s="192"/>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50"/>
    </row>
    <row r="87" spans="1:39" x14ac:dyDescent="0.2">
      <c r="A87" s="1"/>
      <c r="C87" s="94"/>
      <c r="D87" s="94"/>
      <c r="E87" s="94"/>
      <c r="F87" s="94"/>
      <c r="G87" s="50"/>
      <c r="H87" s="50"/>
      <c r="I87" s="50"/>
      <c r="J87" s="94"/>
      <c r="K87" s="94"/>
      <c r="L87" s="192"/>
      <c r="M87" s="192"/>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50"/>
    </row>
    <row r="88" spans="1:39" x14ac:dyDescent="0.2">
      <c r="A88" s="1"/>
      <c r="C88" s="94"/>
      <c r="D88" s="94"/>
      <c r="E88" s="94"/>
      <c r="F88" s="94"/>
      <c r="G88" s="50"/>
      <c r="H88" s="50"/>
      <c r="I88" s="50"/>
      <c r="J88" s="94"/>
      <c r="K88" s="94"/>
      <c r="L88" s="192"/>
      <c r="M88" s="192"/>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50"/>
    </row>
    <row r="89" spans="1:39" x14ac:dyDescent="0.2">
      <c r="A89" s="1"/>
      <c r="C89" s="94"/>
      <c r="D89" s="94"/>
      <c r="E89" s="94"/>
      <c r="F89" s="94"/>
      <c r="G89" s="50"/>
      <c r="H89" s="50"/>
      <c r="I89" s="50"/>
      <c r="J89" s="94"/>
      <c r="K89" s="94"/>
      <c r="L89" s="192"/>
      <c r="M89" s="192"/>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50"/>
    </row>
    <row r="90" spans="1:39" x14ac:dyDescent="0.2">
      <c r="A90" s="1"/>
      <c r="C90" s="94"/>
      <c r="D90" s="94"/>
      <c r="E90" s="94"/>
      <c r="F90" s="94"/>
      <c r="G90" s="50"/>
      <c r="H90" s="50"/>
      <c r="I90" s="50"/>
      <c r="J90" s="94"/>
      <c r="K90" s="94"/>
      <c r="L90" s="192"/>
      <c r="M90" s="192"/>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50"/>
    </row>
    <row r="91" spans="1:39" x14ac:dyDescent="0.2">
      <c r="A91" s="1"/>
      <c r="C91" s="94"/>
      <c r="D91" s="94"/>
      <c r="E91" s="94"/>
      <c r="F91" s="94"/>
      <c r="G91" s="50"/>
      <c r="H91" s="50"/>
      <c r="I91" s="50"/>
      <c r="J91" s="94"/>
      <c r="K91" s="94"/>
      <c r="L91" s="192"/>
      <c r="M91" s="192"/>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50"/>
    </row>
    <row r="92" spans="1:39" x14ac:dyDescent="0.2">
      <c r="A92" s="1"/>
      <c r="C92" s="94"/>
      <c r="D92" s="94"/>
      <c r="E92" s="94"/>
      <c r="F92" s="94"/>
      <c r="G92" s="50"/>
      <c r="H92" s="50"/>
      <c r="I92" s="50"/>
      <c r="J92" s="94"/>
      <c r="K92" s="94"/>
      <c r="L92" s="192"/>
      <c r="M92" s="192"/>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50"/>
    </row>
    <row r="93" spans="1:39" x14ac:dyDescent="0.2">
      <c r="A93" s="1"/>
      <c r="C93" s="94"/>
      <c r="D93" s="94"/>
      <c r="E93" s="94"/>
      <c r="F93" s="94"/>
      <c r="G93" s="50"/>
      <c r="H93" s="50"/>
      <c r="I93" s="50"/>
      <c r="J93" s="94"/>
      <c r="K93" s="94"/>
      <c r="L93" s="192"/>
      <c r="M93" s="192"/>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50"/>
    </row>
    <row r="94" spans="1:39" x14ac:dyDescent="0.2">
      <c r="A94" s="1"/>
      <c r="C94" s="94"/>
      <c r="D94" s="94"/>
      <c r="E94" s="94"/>
      <c r="F94" s="94"/>
      <c r="G94" s="50"/>
      <c r="H94" s="50"/>
      <c r="I94" s="50"/>
      <c r="J94" s="94"/>
      <c r="K94" s="94"/>
      <c r="L94" s="192"/>
      <c r="M94" s="192"/>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50"/>
    </row>
    <row r="95" spans="1:39" x14ac:dyDescent="0.2">
      <c r="A95" s="1"/>
      <c r="C95" s="94"/>
      <c r="D95" s="94"/>
      <c r="E95" s="94"/>
      <c r="F95" s="94"/>
      <c r="G95" s="50"/>
      <c r="H95" s="50"/>
      <c r="I95" s="50"/>
      <c r="J95" s="94"/>
      <c r="K95" s="94"/>
      <c r="L95" s="192"/>
      <c r="M95" s="192"/>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50"/>
    </row>
    <row r="96" spans="1:39" x14ac:dyDescent="0.2">
      <c r="A96" s="1"/>
      <c r="C96" s="94"/>
      <c r="D96" s="94"/>
      <c r="E96" s="94"/>
      <c r="F96" s="94"/>
      <c r="G96" s="50"/>
      <c r="H96" s="50"/>
      <c r="I96" s="50"/>
      <c r="J96" s="94"/>
      <c r="K96" s="94"/>
      <c r="L96" s="192"/>
      <c r="M96" s="192"/>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50"/>
    </row>
    <row r="97" spans="1:39" x14ac:dyDescent="0.2">
      <c r="A97" s="1"/>
      <c r="C97" s="94"/>
      <c r="D97" s="94"/>
      <c r="E97" s="94"/>
      <c r="F97" s="94"/>
      <c r="G97" s="50"/>
      <c r="H97" s="50"/>
      <c r="I97" s="50"/>
      <c r="J97" s="94"/>
      <c r="K97" s="94"/>
      <c r="L97" s="192"/>
      <c r="M97" s="192"/>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50"/>
    </row>
    <row r="98" spans="1:39" x14ac:dyDescent="0.2">
      <c r="A98" s="1"/>
      <c r="C98" s="94"/>
      <c r="D98" s="94"/>
      <c r="E98" s="94"/>
      <c r="F98" s="94"/>
      <c r="G98" s="50"/>
      <c r="H98" s="50"/>
      <c r="I98" s="50"/>
      <c r="J98" s="94"/>
      <c r="K98" s="94"/>
      <c r="L98" s="192"/>
      <c r="M98" s="192"/>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50"/>
    </row>
    <row r="99" spans="1:39" x14ac:dyDescent="0.2">
      <c r="A99" s="1"/>
      <c r="C99" s="94"/>
      <c r="D99" s="94"/>
      <c r="E99" s="94"/>
      <c r="F99" s="94"/>
      <c r="G99" s="50"/>
      <c r="H99" s="50"/>
      <c r="I99" s="50"/>
      <c r="J99" s="94"/>
      <c r="K99" s="94"/>
      <c r="L99" s="192"/>
      <c r="M99" s="192"/>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50"/>
    </row>
    <row r="100" spans="1:39" x14ac:dyDescent="0.2">
      <c r="A100" s="1"/>
    </row>
    <row r="101" spans="1:39" x14ac:dyDescent="0.2">
      <c r="A101" s="1"/>
    </row>
    <row r="102" spans="1:39" x14ac:dyDescent="0.2">
      <c r="A102" s="1"/>
    </row>
    <row r="103" spans="1:39" x14ac:dyDescent="0.2">
      <c r="A103" s="1"/>
    </row>
    <row r="104" spans="1:39" x14ac:dyDescent="0.2">
      <c r="A104" s="1"/>
    </row>
    <row r="105" spans="1:39" x14ac:dyDescent="0.2">
      <c r="A105" s="1"/>
    </row>
    <row r="106" spans="1:39" x14ac:dyDescent="0.2">
      <c r="A106" s="1"/>
    </row>
    <row r="107" spans="1:39" x14ac:dyDescent="0.2">
      <c r="A107" s="1"/>
    </row>
    <row r="108" spans="1:39" x14ac:dyDescent="0.2">
      <c r="A108" s="1"/>
    </row>
    <row r="109" spans="1:39" x14ac:dyDescent="0.2">
      <c r="A109" s="1"/>
    </row>
    <row r="110" spans="1:39" x14ac:dyDescent="0.2">
      <c r="A110" s="1"/>
    </row>
    <row r="111" spans="1:39" x14ac:dyDescent="0.2">
      <c r="A111" s="1"/>
    </row>
    <row r="112" spans="1:39"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sheetData>
  <mergeCells count="4">
    <mergeCell ref="C1:C2"/>
    <mergeCell ref="E1:E2"/>
    <mergeCell ref="G1:G2"/>
    <mergeCell ref="I1:I2"/>
  </mergeCells>
  <phoneticPr fontId="2" type="noConversion"/>
  <pageMargins left="0.25" right="0.25" top="0.75" bottom="0.75" header="0.3" footer="0.3"/>
  <pageSetup paperSize="9" scale="51" orientation="landscape" r:id="rId1"/>
  <headerFooter alignWithMargins="0">
    <oddFooter>&amp;CPage &amp;P of &amp;N&amp;R&amp;F&amp;A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4"/>
  <sheetViews>
    <sheetView showGridLines="0" view="pageBreakPreview" zoomScaleNormal="100" zoomScaleSheetLayoutView="100" workbookViewId="0">
      <selection activeCell="AC19" sqref="AC19"/>
    </sheetView>
  </sheetViews>
  <sheetFormatPr defaultRowHeight="12.75" outlineLevelCol="1" x14ac:dyDescent="0.2"/>
  <cols>
    <col min="1" max="1" width="39.140625" style="1" customWidth="1"/>
    <col min="2" max="7" width="6.7109375" style="218" hidden="1" customWidth="1" outlineLevel="1"/>
    <col min="8" max="9" width="6.7109375" style="219" hidden="1" customWidth="1" outlineLevel="1"/>
    <col min="10" max="10" width="6.7109375" style="218" hidden="1" customWidth="1" outlineLevel="1"/>
    <col min="11" max="12" width="7.28515625" style="218" hidden="1" customWidth="1" outlineLevel="1"/>
    <col min="13" max="13" width="7.28515625" style="218" customWidth="1" collapsed="1"/>
    <col min="14" max="15" width="7.28515625" style="218" hidden="1" customWidth="1" outlineLevel="1"/>
    <col min="16" max="16" width="6.7109375" style="220" hidden="1" customWidth="1" outlineLevel="1"/>
    <col min="17" max="17" width="6.7109375" style="220" customWidth="1" collapsed="1"/>
    <col min="18" max="20" width="6.7109375" style="220" hidden="1" customWidth="1" outlineLevel="1"/>
    <col min="21" max="21" width="6.7109375" style="220" customWidth="1" collapsed="1"/>
    <col min="22" max="24" width="6.7109375" style="220" hidden="1" customWidth="1" outlineLevel="1"/>
    <col min="25" max="25" width="6.7109375" style="220" customWidth="1" collapsed="1"/>
    <col min="26" max="38" width="6.7109375" style="220" customWidth="1"/>
    <col min="39" max="39" width="6.7109375" style="219" customWidth="1"/>
    <col min="40" max="42" width="7" style="1" customWidth="1"/>
    <col min="43" max="48" width="7.42578125" style="1" customWidth="1"/>
    <col min="49" max="16384" width="9.140625" style="1"/>
  </cols>
  <sheetData>
    <row r="1" spans="1:48" x14ac:dyDescent="0.2">
      <c r="A1" s="194" t="s">
        <v>258</v>
      </c>
      <c r="B1" s="195"/>
      <c r="C1" s="195"/>
      <c r="D1" s="195"/>
      <c r="E1" s="195"/>
      <c r="F1" s="195"/>
      <c r="G1" s="195"/>
      <c r="H1" s="196"/>
      <c r="I1" s="196"/>
      <c r="J1" s="195"/>
      <c r="K1" s="195"/>
      <c r="L1" s="195"/>
      <c r="M1" s="195"/>
      <c r="N1" s="195"/>
      <c r="O1" s="195"/>
      <c r="P1" s="197"/>
      <c r="Q1" s="197"/>
      <c r="R1" s="197"/>
      <c r="S1" s="197"/>
      <c r="T1" s="197"/>
      <c r="U1" s="197"/>
      <c r="V1" s="197"/>
      <c r="W1" s="197"/>
      <c r="X1" s="197"/>
      <c r="Y1" s="197"/>
      <c r="Z1" s="197"/>
      <c r="AA1" s="197"/>
      <c r="AB1" s="197"/>
      <c r="AC1" s="197"/>
      <c r="AD1" s="197"/>
      <c r="AE1" s="197"/>
      <c r="AF1" s="197"/>
      <c r="AG1" s="197"/>
      <c r="AH1" s="197"/>
      <c r="AI1" s="197"/>
      <c r="AJ1" s="197"/>
      <c r="AK1" s="197"/>
      <c r="AL1" s="197"/>
      <c r="AM1" s="196"/>
    </row>
    <row r="3" spans="1:48" x14ac:dyDescent="0.2">
      <c r="A3" s="198"/>
      <c r="B3" s="3" t="s">
        <v>6</v>
      </c>
      <c r="C3" s="4" t="s">
        <v>20</v>
      </c>
      <c r="D3" s="4" t="s">
        <v>21</v>
      </c>
      <c r="E3" s="4" t="s">
        <v>22</v>
      </c>
      <c r="F3" s="3" t="s">
        <v>0</v>
      </c>
      <c r="G3" s="3" t="s">
        <v>19</v>
      </c>
      <c r="H3" s="4" t="s">
        <v>18</v>
      </c>
      <c r="I3" s="4" t="s">
        <v>136</v>
      </c>
      <c r="J3" s="3" t="s">
        <v>160</v>
      </c>
      <c r="K3" s="3" t="s">
        <v>163</v>
      </c>
      <c r="L3" s="3" t="s">
        <v>164</v>
      </c>
      <c r="M3" s="3" t="s">
        <v>165</v>
      </c>
      <c r="N3" s="3" t="s">
        <v>171</v>
      </c>
      <c r="O3" s="3" t="s">
        <v>180</v>
      </c>
      <c r="P3" s="3" t="s">
        <v>182</v>
      </c>
      <c r="Q3" s="3" t="s">
        <v>184</v>
      </c>
      <c r="R3" s="3" t="s">
        <v>186</v>
      </c>
      <c r="S3" s="3" t="s">
        <v>201</v>
      </c>
      <c r="T3" s="3" t="s">
        <v>204</v>
      </c>
      <c r="U3" s="3" t="s">
        <v>205</v>
      </c>
      <c r="V3" s="3" t="s">
        <v>209</v>
      </c>
      <c r="W3" s="3" t="s">
        <v>210</v>
      </c>
      <c r="X3" s="3" t="s">
        <v>212</v>
      </c>
      <c r="Y3" s="3" t="s">
        <v>216</v>
      </c>
      <c r="Z3" s="3" t="s">
        <v>222</v>
      </c>
      <c r="AA3" s="3" t="s">
        <v>228</v>
      </c>
      <c r="AB3" s="3" t="s">
        <v>238</v>
      </c>
      <c r="AC3" s="3" t="s">
        <v>241</v>
      </c>
      <c r="AD3" s="3" t="s">
        <v>242</v>
      </c>
      <c r="AE3" s="3" t="s">
        <v>244</v>
      </c>
      <c r="AF3" s="3" t="s">
        <v>249</v>
      </c>
      <c r="AG3" s="3" t="s">
        <v>256</v>
      </c>
      <c r="AH3" s="3" t="s">
        <v>263</v>
      </c>
      <c r="AI3" s="3" t="s">
        <v>266</v>
      </c>
      <c r="AJ3" s="3" t="s">
        <v>271</v>
      </c>
      <c r="AK3" s="3" t="s">
        <v>298</v>
      </c>
      <c r="AL3" s="199"/>
      <c r="AM3" s="4">
        <v>2005</v>
      </c>
      <c r="AN3" s="4">
        <v>2006</v>
      </c>
      <c r="AO3" s="4">
        <v>2007</v>
      </c>
      <c r="AP3" s="4">
        <v>2008</v>
      </c>
      <c r="AQ3" s="3">
        <v>2009</v>
      </c>
      <c r="AR3" s="3">
        <v>2010</v>
      </c>
      <c r="AS3" s="3">
        <v>2011</v>
      </c>
      <c r="AT3" s="3">
        <v>2012</v>
      </c>
      <c r="AU3" s="3">
        <v>2013</v>
      </c>
      <c r="AV3" s="3">
        <v>2014</v>
      </c>
    </row>
    <row r="4" spans="1:48" x14ac:dyDescent="0.2">
      <c r="A4" s="7" t="s">
        <v>155</v>
      </c>
      <c r="B4" s="30">
        <v>2290.4549400000001</v>
      </c>
      <c r="C4" s="30">
        <v>4591.1980100000001</v>
      </c>
      <c r="D4" s="30">
        <v>6808.61852</v>
      </c>
      <c r="E4" s="30">
        <v>9125.2492099999999</v>
      </c>
      <c r="F4" s="30">
        <v>2341.08014</v>
      </c>
      <c r="G4" s="30">
        <v>4542.7258200000006</v>
      </c>
      <c r="H4" s="30">
        <v>6773.9708700000001</v>
      </c>
      <c r="I4" s="30">
        <v>9177</v>
      </c>
      <c r="J4" s="30">
        <v>2873</v>
      </c>
      <c r="K4" s="30">
        <v>5892</v>
      </c>
      <c r="L4" s="30">
        <v>8744</v>
      </c>
      <c r="M4" s="30">
        <v>10499.6</v>
      </c>
      <c r="N4" s="30">
        <v>2135.1805470000004</v>
      </c>
      <c r="O4" s="30">
        <v>4788.0343920000005</v>
      </c>
      <c r="P4" s="30">
        <v>7728</v>
      </c>
      <c r="Q4" s="30">
        <v>10614</v>
      </c>
      <c r="R4" s="30">
        <v>2716.0439409999999</v>
      </c>
      <c r="S4" s="30">
        <v>5596.0002679999998</v>
      </c>
      <c r="T4" s="30">
        <v>8557.8620630000005</v>
      </c>
      <c r="U4" s="30">
        <v>11547</v>
      </c>
      <c r="V4" s="30">
        <v>2905.6426590000001</v>
      </c>
      <c r="W4" s="30">
        <v>5902.0611779999999</v>
      </c>
      <c r="X4" s="30">
        <v>8797.0706532200002</v>
      </c>
      <c r="Y4" s="30">
        <v>11968.388174197</v>
      </c>
      <c r="Z4" s="30">
        <v>3635</v>
      </c>
      <c r="AA4" s="30">
        <v>7477.283834928</v>
      </c>
      <c r="AB4" s="30">
        <v>11248.861972508001</v>
      </c>
      <c r="AC4" s="30">
        <v>14923</v>
      </c>
      <c r="AD4" s="30">
        <v>3695.7203916000008</v>
      </c>
      <c r="AE4" s="30">
        <v>7477.6868786350005</v>
      </c>
      <c r="AF4" s="30">
        <v>11375.430052057</v>
      </c>
      <c r="AG4" s="30">
        <v>15429.128323690002</v>
      </c>
      <c r="AH4" s="30">
        <v>3908.7</v>
      </c>
      <c r="AI4" s="30">
        <v>7682.2565250585603</v>
      </c>
      <c r="AJ4" s="30">
        <v>11812.7490629312</v>
      </c>
      <c r="AK4" s="30">
        <v>15921.210044814799</v>
      </c>
      <c r="AL4" s="30"/>
      <c r="AM4" s="30">
        <v>8468</v>
      </c>
      <c r="AN4" s="30">
        <v>9125.2492099999999</v>
      </c>
      <c r="AO4" s="30">
        <v>9177</v>
      </c>
      <c r="AP4" s="30">
        <v>10499</v>
      </c>
      <c r="AQ4" s="30">
        <v>10614</v>
      </c>
      <c r="AR4" s="30">
        <v>11547</v>
      </c>
      <c r="AS4" s="30">
        <f>Y4</f>
        <v>11968.388174197</v>
      </c>
      <c r="AT4" s="30">
        <f>AC4</f>
        <v>14923</v>
      </c>
      <c r="AU4" s="30">
        <f>AG4</f>
        <v>15429.128323690002</v>
      </c>
      <c r="AV4" s="30">
        <f>AK4</f>
        <v>15921.210044814799</v>
      </c>
    </row>
    <row r="5" spans="1:48" x14ac:dyDescent="0.2">
      <c r="A5" s="7" t="s">
        <v>4</v>
      </c>
      <c r="B5" s="27">
        <v>0.40849128043658084</v>
      </c>
      <c r="C5" s="27">
        <v>0.41671292316831138</v>
      </c>
      <c r="D5" s="27">
        <v>0.44320302340929818</v>
      </c>
      <c r="E5" s="27">
        <v>0.4475414866122196</v>
      </c>
      <c r="F5" s="27">
        <v>0.41486350437615632</v>
      </c>
      <c r="G5" s="27">
        <v>0.42878917308266179</v>
      </c>
      <c r="H5" s="27">
        <v>0.4387553856177116</v>
      </c>
      <c r="I5" s="27">
        <v>0.43218391459790251</v>
      </c>
      <c r="J5" s="27">
        <v>0.36316131664159507</v>
      </c>
      <c r="K5" s="27">
        <v>0.37971189826120533</v>
      </c>
      <c r="L5" s="19">
        <v>0.41699254358479515</v>
      </c>
      <c r="M5" s="19">
        <v>0.3879035387041303</v>
      </c>
      <c r="N5" s="19">
        <f>'P&amp;L'!N56/'P&amp;L'!N3</f>
        <v>0.15132766216715662</v>
      </c>
      <c r="O5" s="19">
        <f>'P&amp;L'!O56/'P&amp;L'!O3</f>
        <v>0.16522153023225422</v>
      </c>
      <c r="P5" s="19">
        <f>'P&amp;L'!P56/'P&amp;L'!P3</f>
        <v>0.20651136294540232</v>
      </c>
      <c r="Q5" s="19">
        <f>'P&amp;L'!Q56/'P&amp;L'!Q3</f>
        <v>0.23024823714412054</v>
      </c>
      <c r="R5" s="19">
        <f>'P&amp;L'!R56/'P&amp;L'!R3</f>
        <v>0.22825816728936835</v>
      </c>
      <c r="S5" s="19">
        <f>'P&amp;L'!S56/'P&amp;L'!S3</f>
        <v>0.29509556910645063</v>
      </c>
      <c r="T5" s="19">
        <f>'P&amp;L'!T56/'P&amp;L'!T3</f>
        <v>0.29871926603333382</v>
      </c>
      <c r="U5" s="19">
        <f>'P&amp;L'!U56/'P&amp;L'!U3</f>
        <v>0.27808131678743031</v>
      </c>
      <c r="V5" s="19">
        <f>'P&amp;L'!V56/'P&amp;L'!V3</f>
        <v>0.24903916183880642</v>
      </c>
      <c r="W5" s="19">
        <f>'P&amp;L'!W56/'P&amp;L'!W3</f>
        <v>0.26420439812062768</v>
      </c>
      <c r="X5" s="19">
        <f>'P&amp;L'!X56/'P&amp;L'!X3</f>
        <v>0.21711061649082081</v>
      </c>
      <c r="Y5" s="19">
        <f>'P&amp;L'!Y56/'P&amp;L'!Y3</f>
        <v>0.19221343190073867</v>
      </c>
      <c r="Z5" s="19">
        <f>'P&amp;L'!Z56/'P&amp;L'!Z3</f>
        <v>0.13966172441886657</v>
      </c>
      <c r="AA5" s="19">
        <f>'P&amp;L'!AA56/'P&amp;L'!AA3</f>
        <v>0.16185823659478635</v>
      </c>
      <c r="AB5" s="19">
        <f>'P&amp;L'!AB56/'P&amp;L'!AB3</f>
        <v>0.1615337772377162</v>
      </c>
      <c r="AC5" s="19">
        <f>'P&amp;L'!AC56/'P&amp;L'!AC3</f>
        <v>0.15633411074419543</v>
      </c>
      <c r="AD5" s="19">
        <f>'P&amp;L'!AD56/'P&amp;L'!AD3</f>
        <v>0.11138019106232812</v>
      </c>
      <c r="AE5" s="19">
        <f>'P&amp;L'!AE56/'P&amp;L'!AE3</f>
        <v>0.12625364466359332</v>
      </c>
      <c r="AF5" s="19">
        <f>'P&amp;L'!AF56/'P&amp;L'!AF3</f>
        <v>0.13043562065160164</v>
      </c>
      <c r="AG5" s="19">
        <f>'P&amp;L'!AG56/'P&amp;L'!AG3</f>
        <v>0.13798432587111237</v>
      </c>
      <c r="AH5" s="19">
        <f>'P&amp;L'!AH56/'P&amp;L'!AH3</f>
        <v>0.17748193685034169</v>
      </c>
      <c r="AI5" s="19">
        <f>'P&amp;L'!AI56/'P&amp;L'!AI3</f>
        <v>0.19511334793360066</v>
      </c>
      <c r="AJ5" s="19">
        <f>'P&amp;L'!AJ56/'P&amp;L'!AJ3</f>
        <v>0.21800256301362719</v>
      </c>
      <c r="AK5" s="19">
        <f>'P&amp;L'!AK56/'P&amp;L'!AK3</f>
        <v>0.22920327218460321</v>
      </c>
      <c r="AL5" s="27"/>
      <c r="AM5" s="27">
        <v>0.47747820630073634</v>
      </c>
      <c r="AN5" s="27">
        <v>0.4475414866122196</v>
      </c>
      <c r="AO5" s="27">
        <v>0.43218391459790251</v>
      </c>
      <c r="AP5" s="27">
        <v>0.3879035387041303</v>
      </c>
      <c r="AQ5" s="19">
        <f t="shared" ref="AQ5:AQ13" si="0">Q5</f>
        <v>0.23024823714412054</v>
      </c>
      <c r="AR5" s="19">
        <f>U5</f>
        <v>0.27808131678743031</v>
      </c>
      <c r="AS5" s="19">
        <f>Y5</f>
        <v>0.19221343190073867</v>
      </c>
      <c r="AT5" s="19">
        <f>AC5</f>
        <v>0.15633411074419543</v>
      </c>
      <c r="AU5" s="19">
        <f t="shared" ref="AU5:AV13" si="1">AG5</f>
        <v>0.13798432587111237</v>
      </c>
      <c r="AV5" s="19">
        <f>AK5</f>
        <v>0.22920327218460321</v>
      </c>
    </row>
    <row r="6" spans="1:48" x14ac:dyDescent="0.2">
      <c r="A6" s="7" t="s">
        <v>5</v>
      </c>
      <c r="B6" s="27">
        <v>0.34634328571073664</v>
      </c>
      <c r="C6" s="27">
        <v>0.36260284777447543</v>
      </c>
      <c r="D6" s="27">
        <v>0.39114564323060824</v>
      </c>
      <c r="E6" s="27">
        <v>0.37106916158378994</v>
      </c>
      <c r="F6" s="27">
        <v>0.3657630190507643</v>
      </c>
      <c r="G6" s="27">
        <v>0.3835119707825736</v>
      </c>
      <c r="H6" s="27">
        <v>0.39338176489755672</v>
      </c>
      <c r="I6" s="27">
        <v>0.38843727235735021</v>
      </c>
      <c r="J6" s="27">
        <v>0.32993039443155453</v>
      </c>
      <c r="K6" s="27">
        <v>0.35177618661720955</v>
      </c>
      <c r="L6" s="19">
        <v>0.39216528160547942</v>
      </c>
      <c r="M6" s="19">
        <v>0.34716109818038149</v>
      </c>
      <c r="N6" s="19">
        <f>'P&amp;L'!N17/'P&amp;L'!N3</f>
        <v>7.6617187004668588E-2</v>
      </c>
      <c r="O6" s="19">
        <f>'P&amp;L'!O17/'P&amp;L'!O3</f>
        <v>7.9095265327049358E-2</v>
      </c>
      <c r="P6" s="19">
        <f>'P&amp;L'!P17/'P&amp;L'!P3</f>
        <v>0.125896954475854</v>
      </c>
      <c r="Q6" s="19">
        <f>'P&amp;L'!Q17/'P&amp;L'!Q3</f>
        <v>0.1452664907136034</v>
      </c>
      <c r="R6" s="19">
        <f>'P&amp;L'!R17/'P&amp;L'!R3</f>
        <v>0.15579913776140805</v>
      </c>
      <c r="S6" s="19">
        <f>'P&amp;L'!S17/'P&amp;L'!S3</f>
        <v>0.23127936575166982</v>
      </c>
      <c r="T6" s="19">
        <f>'P&amp;L'!T17/'P&amp;L'!T3</f>
        <v>0.24002060271148512</v>
      </c>
      <c r="U6" s="19">
        <f>'P&amp;L'!U17/'P&amp;L'!U3</f>
        <v>0.21490170700876138</v>
      </c>
      <c r="V6" s="19">
        <f>'P&amp;L'!V17/'P&amp;L'!V3</f>
        <v>0.19645314424908791</v>
      </c>
      <c r="W6" s="19">
        <f>'P&amp;L'!W17/'P&amp;L'!W3</f>
        <v>0.21578069870786132</v>
      </c>
      <c r="X6" s="19">
        <f>'P&amp;L'!X17/'P&amp;L'!X3</f>
        <v>0.16408677831088619</v>
      </c>
      <c r="Y6" s="19">
        <f>'P&amp;L'!Y17/'P&amp;L'!Y3</f>
        <v>0.14201910277786967</v>
      </c>
      <c r="Z6" s="19">
        <f>'P&amp;L'!Z17/'P&amp;L'!Z3</f>
        <v>8.2431445015271429E-2</v>
      </c>
      <c r="AA6" s="19">
        <f>'P&amp;L'!AA17/'P&amp;L'!AA3</f>
        <v>0.10706411289078269</v>
      </c>
      <c r="AB6" s="19">
        <f>'P&amp;L'!AB17/'P&amp;L'!AB3</f>
        <v>0.10068907741627721</v>
      </c>
      <c r="AC6" s="19">
        <f>'P&amp;L'!AC17/'P&amp;L'!AC3</f>
        <v>9.3181954284556071E-2</v>
      </c>
      <c r="AD6" s="19">
        <f>'P&amp;L'!AD17/'P&amp;L'!AD3</f>
        <v>3.8809491627979614E-2</v>
      </c>
      <c r="AE6" s="19">
        <f>'P&amp;L'!AE17/'P&amp;L'!AE3</f>
        <v>5.115668816877466E-2</v>
      </c>
      <c r="AF6" s="19">
        <f>'P&amp;L'!AF17/'P&amp;L'!AF3</f>
        <v>5.2332660096910351E-2</v>
      </c>
      <c r="AG6" s="19">
        <f>'P&amp;L'!AG17/'P&amp;L'!AG3</f>
        <v>5.9014567381173118E-2</v>
      </c>
      <c r="AH6" s="19">
        <f>'P&amp;L'!AH17/'P&amp;L'!AH3</f>
        <v>0.10195998300117255</v>
      </c>
      <c r="AI6" s="19">
        <f>'P&amp;L'!AI17/'P&amp;L'!AI3</f>
        <v>0.11956733900487677</v>
      </c>
      <c r="AJ6" s="19">
        <f>'P&amp;L'!AJ17/'P&amp;L'!AJ3</f>
        <v>0.13078348246993055</v>
      </c>
      <c r="AK6" s="19">
        <f>'P&amp;L'!AK17/'P&amp;L'!AK3</f>
        <v>0.14274983247955461</v>
      </c>
      <c r="AL6" s="27"/>
      <c r="AM6" s="27">
        <v>0.4214135635812008</v>
      </c>
      <c r="AN6" s="27">
        <v>0.37106916158378994</v>
      </c>
      <c r="AO6" s="27">
        <v>0.38843727235735021</v>
      </c>
      <c r="AP6" s="27">
        <v>0.34716109818038149</v>
      </c>
      <c r="AQ6" s="19">
        <f t="shared" si="0"/>
        <v>0.1452664907136034</v>
      </c>
      <c r="AR6" s="19">
        <f t="shared" ref="AR6:AR19" si="2">U6</f>
        <v>0.21490170700876138</v>
      </c>
      <c r="AS6" s="19">
        <f t="shared" ref="AS6:AS13" si="3">Y6</f>
        <v>0.14201910277786967</v>
      </c>
      <c r="AT6" s="19">
        <f t="shared" ref="AT6:AT19" si="4">AC6</f>
        <v>9.3181954284556071E-2</v>
      </c>
      <c r="AU6" s="19">
        <f t="shared" si="1"/>
        <v>5.9014567381173118E-2</v>
      </c>
      <c r="AV6" s="19">
        <f>AK6</f>
        <v>0.14274983247955461</v>
      </c>
    </row>
    <row r="7" spans="1:48" x14ac:dyDescent="0.2">
      <c r="A7" s="200" t="s">
        <v>13</v>
      </c>
      <c r="B7" s="201">
        <v>0.50229893201105258</v>
      </c>
      <c r="C7" s="201">
        <v>0.37127874476049227</v>
      </c>
      <c r="D7" s="201">
        <v>0.39316993094924485</v>
      </c>
      <c r="E7" s="201">
        <v>0.34172860539646438</v>
      </c>
      <c r="F7" s="201">
        <v>0.26089925184239665</v>
      </c>
      <c r="G7" s="201">
        <v>0.29508359334888484</v>
      </c>
      <c r="H7" s="201">
        <v>0.29887565847758846</v>
      </c>
      <c r="I7" s="201">
        <v>0.29113424547363986</v>
      </c>
      <c r="J7" s="201">
        <v>0.26249713163866295</v>
      </c>
      <c r="K7" s="201">
        <v>0.26018285353768839</v>
      </c>
      <c r="L7" s="16">
        <v>0.2862449528713355</v>
      </c>
      <c r="M7" s="16">
        <v>0.19478648026470721</v>
      </c>
      <c r="N7" s="16">
        <f>'P&amp;L'!N51/'P&amp;L'!N3</f>
        <v>-0.19459285593887388</v>
      </c>
      <c r="O7" s="16">
        <f>'P&amp;L'!O51/'P&amp;L'!O3</f>
        <v>-0.12380459667450423</v>
      </c>
      <c r="P7" s="16">
        <f>'P&amp;L'!P51/'P&amp;L'!P3</f>
        <v>-4.0492392374132755E-2</v>
      </c>
      <c r="Q7" s="16">
        <f>'P&amp;L'!Q51/'P&amp;L'!Q3</f>
        <v>1.5976820450512592E-2</v>
      </c>
      <c r="R7" s="16">
        <f>'P&amp;L'!R51/'P&amp;L'!R3</f>
        <v>6.3589801595577339E-2</v>
      </c>
      <c r="S7" s="16">
        <f>'P&amp;L'!S51/'P&amp;L'!S3</f>
        <v>0.14545974076127241</v>
      </c>
      <c r="T7" s="16">
        <f>'P&amp;L'!T51/'P&amp;L'!T3</f>
        <v>0.17778549119454312</v>
      </c>
      <c r="U7" s="16">
        <f>'P&amp;L'!U51/'P&amp;L'!U3</f>
        <v>0.14657106165818917</v>
      </c>
      <c r="V7" s="16">
        <f>'P&amp;L'!V51/'P&amp;L'!V3</f>
        <v>0.16147549809697662</v>
      </c>
      <c r="W7" s="16">
        <f>'P&amp;L'!W51/'P&amp;L'!W3</f>
        <v>0.18194488260475983</v>
      </c>
      <c r="X7" s="16">
        <f>'P&amp;L'!X51/'P&amp;L'!X3</f>
        <v>0.13738765713476833</v>
      </c>
      <c r="Y7" s="16">
        <f>'P&amp;L'!Y51/'P&amp;L'!Y3</f>
        <v>0.11215378943494834</v>
      </c>
      <c r="Z7" s="16">
        <f>'P&amp;L'!Z51/'P&amp;L'!Z3</f>
        <v>5.6111462828434232E-2</v>
      </c>
      <c r="AA7" s="16">
        <f>'P&amp;L'!AA51/'P&amp;L'!AA3</f>
        <v>7.0730399383829037E-2</v>
      </c>
      <c r="AB7" s="16">
        <f>'P&amp;L'!AB51/'P&amp;L'!AB3</f>
        <v>6.5823603280253967E-2</v>
      </c>
      <c r="AC7" s="16">
        <f>'P&amp;L'!AC51/'P&amp;L'!AC3</f>
        <v>5.0214155414609621E-2</v>
      </c>
      <c r="AD7" s="16">
        <f>'P&amp;L'!AD51/'P&amp;L'!AD3</f>
        <v>1.2397131193750872E-2</v>
      </c>
      <c r="AE7" s="16">
        <f>'P&amp;L'!AE54/'P&amp;L'!AE3</f>
        <v>1.2593966182024912E-2</v>
      </c>
      <c r="AF7" s="16">
        <f>'P&amp;L'!AF54/'P&amp;L'!AF3</f>
        <v>2.4899475589478474E-2</v>
      </c>
      <c r="AG7" s="16">
        <f>'P&amp;L'!AG54/'P&amp;L'!AG3</f>
        <v>1.7300609875372179E-2</v>
      </c>
      <c r="AH7" s="16">
        <f>'P&amp;L'!AH54/'P&amp;L'!AH3</f>
        <v>6.5919739300765889E-2</v>
      </c>
      <c r="AI7" s="16">
        <f>'P&amp;L'!AI54/'P&amp;L'!AI3</f>
        <v>6.1015211294709035E-2</v>
      </c>
      <c r="AJ7" s="16">
        <f>'P&amp;L'!AJ54/'P&amp;L'!AJ3</f>
        <v>7.6135909261370274E-2</v>
      </c>
      <c r="AK7" s="16">
        <f>'P&amp;L'!AK54/'P&amp;L'!AK3</f>
        <v>8.1266414165948264E-2</v>
      </c>
      <c r="AL7" s="45"/>
      <c r="AM7" s="201">
        <v>0.31568926958827698</v>
      </c>
      <c r="AN7" s="201">
        <v>0.34172860539646438</v>
      </c>
      <c r="AO7" s="201">
        <v>0.29113424547363986</v>
      </c>
      <c r="AP7" s="201">
        <v>0.19478648026470721</v>
      </c>
      <c r="AQ7" s="16">
        <f t="shared" si="0"/>
        <v>1.5976820450512592E-2</v>
      </c>
      <c r="AR7" s="16">
        <f t="shared" si="2"/>
        <v>0.14657106165818917</v>
      </c>
      <c r="AS7" s="16">
        <f t="shared" si="3"/>
        <v>0.11215378943494834</v>
      </c>
      <c r="AT7" s="16">
        <f t="shared" si="4"/>
        <v>5.0214155414609621E-2</v>
      </c>
      <c r="AU7" s="16">
        <f t="shared" si="1"/>
        <v>1.7300609875372179E-2</v>
      </c>
      <c r="AV7" s="16">
        <f>AK7</f>
        <v>8.1266414165948264E-2</v>
      </c>
    </row>
    <row r="8" spans="1:48" x14ac:dyDescent="0.2">
      <c r="A8" s="7" t="s">
        <v>190</v>
      </c>
      <c r="B8" s="202">
        <v>159.4</v>
      </c>
      <c r="C8" s="202">
        <v>163.4</v>
      </c>
      <c r="D8" s="202">
        <v>167.2</v>
      </c>
      <c r="E8" s="202">
        <v>169.2</v>
      </c>
      <c r="F8" s="202">
        <v>196.5</v>
      </c>
      <c r="G8" s="202">
        <v>203</v>
      </c>
      <c r="H8" s="202">
        <v>213</v>
      </c>
      <c r="I8" s="202">
        <v>221</v>
      </c>
      <c r="J8" s="202">
        <v>282</v>
      </c>
      <c r="K8" s="202">
        <v>309</v>
      </c>
      <c r="L8" s="22">
        <v>329</v>
      </c>
      <c r="M8" s="22">
        <v>347</v>
      </c>
      <c r="N8" s="22">
        <v>243</v>
      </c>
      <c r="O8" s="22">
        <v>220</v>
      </c>
      <c r="P8" s="22">
        <v>213</v>
      </c>
      <c r="Q8" s="22">
        <v>240</v>
      </c>
      <c r="R8" s="22">
        <v>286</v>
      </c>
      <c r="S8" s="22">
        <v>325</v>
      </c>
      <c r="T8" s="22">
        <v>330</v>
      </c>
      <c r="U8" s="22">
        <v>318</v>
      </c>
      <c r="V8" s="22">
        <v>361</v>
      </c>
      <c r="W8" s="22">
        <v>406</v>
      </c>
      <c r="X8" s="22">
        <v>405</v>
      </c>
      <c r="Y8" s="22">
        <v>405</v>
      </c>
      <c r="Z8" s="22">
        <v>395</v>
      </c>
      <c r="AA8" s="22">
        <v>403.1</v>
      </c>
      <c r="AB8" s="22">
        <v>396</v>
      </c>
      <c r="AC8" s="22">
        <v>388</v>
      </c>
      <c r="AD8" s="22">
        <v>364</v>
      </c>
      <c r="AE8" s="22">
        <f>'Steel segment'!AE49</f>
        <v>356</v>
      </c>
      <c r="AF8" s="22">
        <f>'Steel segment'!AF49</f>
        <v>347</v>
      </c>
      <c r="AG8" s="22">
        <f>'Steel segment'!AG49</f>
        <v>348</v>
      </c>
      <c r="AH8" s="22">
        <f>'Steel segment'!AH49</f>
        <v>309.60000000000002</v>
      </c>
      <c r="AI8" s="22">
        <f>'Steel segment'!AI49</f>
        <v>308.9898604218435</v>
      </c>
      <c r="AJ8" s="22">
        <f>'Steel segment'!AJ49</f>
        <v>304.18261876353665</v>
      </c>
      <c r="AK8" s="22">
        <f>'Steel segment'!AK49</f>
        <v>282.79725343462906</v>
      </c>
      <c r="AL8" s="202"/>
      <c r="AM8" s="202">
        <v>173</v>
      </c>
      <c r="AN8" s="202">
        <v>169.2</v>
      </c>
      <c r="AO8" s="202">
        <v>221</v>
      </c>
      <c r="AP8" s="202">
        <v>347</v>
      </c>
      <c r="AQ8" s="22">
        <f t="shared" si="0"/>
        <v>240</v>
      </c>
      <c r="AR8" s="22">
        <f t="shared" si="2"/>
        <v>318</v>
      </c>
      <c r="AS8" s="22">
        <f t="shared" si="3"/>
        <v>405</v>
      </c>
      <c r="AT8" s="22">
        <f t="shared" si="4"/>
        <v>388</v>
      </c>
      <c r="AU8" s="22">
        <f t="shared" si="1"/>
        <v>348</v>
      </c>
      <c r="AV8" s="22">
        <f>AK8</f>
        <v>282.79725343462906</v>
      </c>
    </row>
    <row r="9" spans="1:48" s="48" customFormat="1" x14ac:dyDescent="0.2">
      <c r="A9" s="216" t="s">
        <v>158</v>
      </c>
      <c r="B9" s="22">
        <v>164.3380943350931</v>
      </c>
      <c r="C9" s="22">
        <v>200.76045467705714</v>
      </c>
      <c r="D9" s="22">
        <v>246.16520885649501</v>
      </c>
      <c r="E9" s="22">
        <v>245.8393133572294</v>
      </c>
      <c r="F9" s="22">
        <v>273.44044702374009</v>
      </c>
      <c r="G9" s="22">
        <v>304.69041162603116</v>
      </c>
      <c r="H9" s="22">
        <v>322.04463849428981</v>
      </c>
      <c r="I9" s="22">
        <v>326.72670807453414</v>
      </c>
      <c r="J9" s="22">
        <v>270.24434389140271</v>
      </c>
      <c r="K9" s="22">
        <v>351.27562797012899</v>
      </c>
      <c r="L9" s="22">
        <v>432.34549405306495</v>
      </c>
      <c r="M9" s="38">
        <v>386.80711646157948</v>
      </c>
      <c r="N9" s="38">
        <f>'P&amp;L'!N17/N4</f>
        <v>46.408721800704932</v>
      </c>
      <c r="O9" s="38">
        <f>'P&amp;L'!O17/O4</f>
        <v>42.723377330327239</v>
      </c>
      <c r="P9" s="38">
        <f>'P&amp;L'!P17/P4</f>
        <v>70.464026915113877</v>
      </c>
      <c r="Q9" s="38">
        <f>'P&amp;L'!Q17/Q4</f>
        <v>84.032504239683433</v>
      </c>
      <c r="R9" s="38">
        <f>'P&amp;L'!R17/R4</f>
        <v>97.369558720257842</v>
      </c>
      <c r="S9" s="38">
        <f>'P&amp;L'!S17/S4</f>
        <v>159.24749058643184</v>
      </c>
      <c r="T9" s="38">
        <f>'P&amp;L'!T17/T4</f>
        <v>170.65453839390773</v>
      </c>
      <c r="U9" s="38">
        <f>'P&amp;L'!U17/U4</f>
        <v>155.41612540053694</v>
      </c>
      <c r="V9" s="38">
        <f>'P&amp;L'!V17/V4</f>
        <v>159.48588810968445</v>
      </c>
      <c r="W9" s="38">
        <f>'P&amp;L'!W17/W4</f>
        <v>195.27347569625616</v>
      </c>
      <c r="X9" s="38">
        <f>'P&amp;L'!X17/X4</f>
        <v>161.81204586312663</v>
      </c>
      <c r="Y9" s="38">
        <f>'P&amp;L'!Y17/Y4</f>
        <v>139.17320993908658</v>
      </c>
      <c r="Z9" s="38">
        <f>'P&amp;L'!Z17/Z4</f>
        <v>70.170839064649243</v>
      </c>
      <c r="AA9" s="38">
        <f>'P&amp;L'!AA17/AA4</f>
        <v>90.94425395803475</v>
      </c>
      <c r="AB9" s="38">
        <f>'P&amp;L'!AB17/AB4</f>
        <v>83.725091684987348</v>
      </c>
      <c r="AC9" s="38">
        <f>'P&amp;L'!AC17/AC4</f>
        <v>75.907994371105005</v>
      </c>
      <c r="AD9" s="38">
        <f>'P&amp;L'!AD17/AD4</f>
        <v>29.989552308099988</v>
      </c>
      <c r="AE9" s="38">
        <f>'P&amp;L'!AE17/Multiples!AE4</f>
        <v>38.892642165980668</v>
      </c>
      <c r="AF9" s="38">
        <f>'P&amp;L'!AF17/Multiples!AF4</f>
        <v>38.665703009660248</v>
      </c>
      <c r="AG9" s="38">
        <f>'P&amp;L'!AG17/Multiples!AG4</f>
        <v>41.727308665356034</v>
      </c>
      <c r="AH9" s="38">
        <f>'P&amp;L'!AH17/Multiples!AH4</f>
        <v>68.808811113669506</v>
      </c>
      <c r="AI9" s="38">
        <f>'P&amp;L'!AI17/Multiples!AI4</f>
        <v>84.76233485252385</v>
      </c>
      <c r="AJ9" s="38">
        <f>'P&amp;L'!AJ17/Multiples!AJ4</f>
        <v>89.158077801295462</v>
      </c>
      <c r="AK9" s="38">
        <f>'P&amp;L'!AK17/Multiples!AK4</f>
        <v>93.208430503892785</v>
      </c>
      <c r="AL9" s="22"/>
      <c r="AM9" s="22">
        <v>217.7638167217761</v>
      </c>
      <c r="AN9" s="22">
        <v>245.8393133572294</v>
      </c>
      <c r="AO9" s="22">
        <v>326.72670807453414</v>
      </c>
      <c r="AP9" s="38">
        <v>386.80711646157948</v>
      </c>
      <c r="AQ9" s="38">
        <f t="shared" si="0"/>
        <v>84.032504239683433</v>
      </c>
      <c r="AR9" s="38">
        <f t="shared" si="2"/>
        <v>155.41612540053694</v>
      </c>
      <c r="AS9" s="38">
        <f t="shared" si="3"/>
        <v>139.17320993908658</v>
      </c>
      <c r="AT9" s="38">
        <f t="shared" si="4"/>
        <v>75.907994371105005</v>
      </c>
      <c r="AU9" s="38">
        <f t="shared" si="1"/>
        <v>41.727308665356034</v>
      </c>
      <c r="AV9" s="38">
        <f>AK9</f>
        <v>93.208430503892785</v>
      </c>
    </row>
    <row r="10" spans="1:48" x14ac:dyDescent="0.2">
      <c r="A10" s="203" t="s">
        <v>202</v>
      </c>
      <c r="B10" s="25">
        <v>193.82699578451431</v>
      </c>
      <c r="C10" s="25">
        <v>230.71930195404488</v>
      </c>
      <c r="D10" s="25">
        <v>278.92721473841658</v>
      </c>
      <c r="E10" s="25">
        <v>296.50346393115109</v>
      </c>
      <c r="F10" s="25">
        <v>310.1474347648774</v>
      </c>
      <c r="G10" s="25">
        <v>340.66198606721105</v>
      </c>
      <c r="H10" s="25">
        <v>359.19005952265042</v>
      </c>
      <c r="I10" s="25">
        <v>363.5233736515201</v>
      </c>
      <c r="J10" s="25">
        <v>297.46362687086668</v>
      </c>
      <c r="K10" s="25">
        <v>379.1715885947047</v>
      </c>
      <c r="L10" s="25">
        <v>459.71649130832571</v>
      </c>
      <c r="M10" s="52">
        <f>'P&amp;L'!M56/Multiples!M4</f>
        <v>446.56015467255895</v>
      </c>
      <c r="N10" s="52">
        <f>'P&amp;L'!N56/Multiples!N4</f>
        <v>91.662506140282829</v>
      </c>
      <c r="O10" s="52">
        <f>'P&amp;L'!O56/Multiples!O4</f>
        <v>89.244555284305477</v>
      </c>
      <c r="P10" s="52">
        <f>'P&amp;L'!P56/Multiples!P4</f>
        <v>115.58359213250517</v>
      </c>
      <c r="Q10" s="52">
        <f>'P&amp;L'!Q56/Multiples!Q4</f>
        <v>133.19201055210101</v>
      </c>
      <c r="R10" s="52">
        <f>'P&amp;L'!R56/Multiples!R4</f>
        <v>142.65417217710618</v>
      </c>
      <c r="S10" s="52">
        <f>'P&amp;L'!S56/Multiples!S4</f>
        <v>203.18816039055989</v>
      </c>
      <c r="T10" s="52">
        <f>'P&amp;L'!T56/Multiples!T4</f>
        <v>212.38926108173706</v>
      </c>
      <c r="U10" s="52">
        <f>'P&amp;L'!U56/Multiples!U4</f>
        <v>201.10738720013856</v>
      </c>
      <c r="V10" s="52">
        <f>'P&amp;L'!V56/Multiples!V4</f>
        <v>202.17661596494341</v>
      </c>
      <c r="W10" s="52">
        <f>'P&amp;L'!W56/Multiples!W4</f>
        <v>239.09511566232024</v>
      </c>
      <c r="X10" s="52">
        <f>'P&amp;L'!X56/Multiples!X4</f>
        <v>214.10081540161272</v>
      </c>
      <c r="Y10" s="52">
        <f>'P&amp;L'!Y56/Multiples!Y4</f>
        <v>188.36170478329714</v>
      </c>
      <c r="Z10" s="52">
        <f>'P&amp;L'!Z56/Multiples!Z4</f>
        <v>118.8888583218707</v>
      </c>
      <c r="AA10" s="52">
        <f>'P&amp;L'!AA56/Multiples!AA4</f>
        <v>137.4884279767212</v>
      </c>
      <c r="AB10" s="52">
        <f>'P&amp;L'!AB56/Multiples!AB4</f>
        <v>134.31874297086148</v>
      </c>
      <c r="AC10" s="52">
        <f>'P&amp;L'!AC56/Multiples!AC4</f>
        <v>127.35307913958319</v>
      </c>
      <c r="AD10" s="52">
        <f>'P&amp;L'!AD56/Multiples!AD4</f>
        <v>86.06765834422113</v>
      </c>
      <c r="AE10" s="52">
        <f>'P&amp;L'!AE56/Multiples!AE4</f>
        <v>95.986233664148983</v>
      </c>
      <c r="AF10" s="52">
        <f>'P&amp;L'!AF56/Multiples!AF4</f>
        <v>96.371653201960797</v>
      </c>
      <c r="AG10" s="52">
        <f>'P&amp;L'!AG56/Multiples!AG4</f>
        <v>97.564293226384137</v>
      </c>
      <c r="AH10" s="52">
        <f>'P&amp;L'!AH56/Multiples!AH4</f>
        <v>119.77562872566327</v>
      </c>
      <c r="AI10" s="52">
        <f>'P&amp;L'!AI56/Multiples!AI4</f>
        <v>138.31756288454585</v>
      </c>
      <c r="AJ10" s="52">
        <f>'P&amp;L'!AJ56/Multiples!AJ4</f>
        <v>148.61731089413092</v>
      </c>
      <c r="AK10" s="52">
        <f>'P&amp;L'!AK56/Multiples!AK4</f>
        <v>149.65815998238196</v>
      </c>
      <c r="AL10" s="22"/>
      <c r="AM10" s="25">
        <v>246.73500236183278</v>
      </c>
      <c r="AN10" s="25">
        <v>296.50346393115109</v>
      </c>
      <c r="AO10" s="25">
        <v>363.5233736515201</v>
      </c>
      <c r="AP10" s="52">
        <f>'P&amp;L'!AP56/Multiples!AP4</f>
        <v>432.22706924468997</v>
      </c>
      <c r="AQ10" s="52">
        <f>'P&amp;L'!AQ56/Multiples!AQ4</f>
        <v>133.19201055210101</v>
      </c>
      <c r="AR10" s="52">
        <f>'P&amp;L'!AR56/Multiples!AR4</f>
        <v>201.10738720013856</v>
      </c>
      <c r="AS10" s="52">
        <f>Y10</f>
        <v>188.36170478329714</v>
      </c>
      <c r="AT10" s="52">
        <f>AC10</f>
        <v>127.35307913958319</v>
      </c>
      <c r="AU10" s="52">
        <f>AG10</f>
        <v>97.564293226384137</v>
      </c>
      <c r="AV10" s="52">
        <f>AK10</f>
        <v>149.65815998238196</v>
      </c>
    </row>
    <row r="11" spans="1:48" x14ac:dyDescent="0.2">
      <c r="A11" s="7"/>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row>
    <row r="12" spans="1:48" x14ac:dyDescent="0.2">
      <c r="A12" s="204" t="s">
        <v>261</v>
      </c>
      <c r="B12" s="205">
        <v>0</v>
      </c>
      <c r="C12" s="205">
        <v>2.7121535589619269E-2</v>
      </c>
      <c r="D12" s="205">
        <v>2.0927282564019111E-2</v>
      </c>
      <c r="E12" s="205">
        <v>4.3606363047074929E-2</v>
      </c>
      <c r="F12" s="205">
        <v>2.0233464716194655E-2</v>
      </c>
      <c r="G12" s="205">
        <v>1.1786830853340565E-2</v>
      </c>
      <c r="H12" s="205">
        <v>8.5993592468086456E-3</v>
      </c>
      <c r="I12" s="205">
        <v>0.17903458265338795</v>
      </c>
      <c r="J12" s="205">
        <v>0.20941753102853206</v>
      </c>
      <c r="K12" s="205">
        <v>0.15892539880725604</v>
      </c>
      <c r="L12" s="205">
        <v>0.31641922382885435</v>
      </c>
      <c r="M12" s="205">
        <f>('Balance Sheet'!M29+'Balance Sheet'!M34)/'Balance Sheet'!M42</f>
        <v>0.34632781774020138</v>
      </c>
      <c r="N12" s="205">
        <f>('Balance Sheet'!N29+'Balance Sheet'!N34)/'Balance Sheet'!N42</f>
        <v>0.37466983227961603</v>
      </c>
      <c r="O12" s="205">
        <f>('Balance Sheet'!O29+'Balance Sheet'!O34)/'Balance Sheet'!O42</f>
        <v>0.34944518704624017</v>
      </c>
      <c r="P12" s="205">
        <f>('Balance Sheet'!P29+'Balance Sheet'!P34)/'Balance Sheet'!P42</f>
        <v>0.29809761721752498</v>
      </c>
      <c r="Q12" s="205">
        <f>('Balance Sheet'!Q29+'Balance Sheet'!Q34)/'Balance Sheet'!Q42</f>
        <v>0.28620752306496222</v>
      </c>
      <c r="R12" s="205">
        <f>('Balance Sheet'!R29+'Balance Sheet'!R34)/'Balance Sheet'!R42</f>
        <v>0.28022620206724674</v>
      </c>
      <c r="S12" s="205">
        <f>('Balance Sheet'!S29+'Balance Sheet'!S34)/'Balance Sheet'!S42</f>
        <v>0.26547374010934643</v>
      </c>
      <c r="T12" s="205">
        <f>('Balance Sheet'!T29+'Balance Sheet'!T34)/'Balance Sheet'!T42</f>
        <v>0.27764913172547684</v>
      </c>
      <c r="U12" s="205">
        <f>('Balance Sheet'!U29+'Balance Sheet'!U34)/'Balance Sheet'!U42</f>
        <v>0.27127196688616112</v>
      </c>
      <c r="V12" s="205">
        <f>('Balance Sheet'!V29+'Balance Sheet'!V34)/'Balance Sheet'!V42</f>
        <v>0.24453535990682101</v>
      </c>
      <c r="W12" s="205">
        <f>('Balance Sheet'!W29+'Balance Sheet'!W34)/'Balance Sheet'!W42</f>
        <v>0.22900814988841914</v>
      </c>
      <c r="X12" s="205">
        <f>('Balance Sheet'!X29+'Balance Sheet'!X34)/'Balance Sheet'!X42</f>
        <v>0.37868232385465345</v>
      </c>
      <c r="Y12" s="205">
        <f>('Balance Sheet'!Y29+'Balance Sheet'!Y34)/'Balance Sheet'!Y42</f>
        <v>0.43163374798364523</v>
      </c>
      <c r="Z12" s="205">
        <f>('Balance Sheet'!Z29+'Balance Sheet'!Z34)/'Balance Sheet'!Z42</f>
        <v>0.3996161450578341</v>
      </c>
      <c r="AA12" s="205">
        <f>('Balance Sheet'!AA29+'Balance Sheet'!AA34)/'Balance Sheet'!AA42</f>
        <v>0.42427428055665312</v>
      </c>
      <c r="AB12" s="205">
        <f>('Balance Sheet'!AB29+'Balance Sheet'!AB34)/'Balance Sheet'!AB42</f>
        <v>0.48190603307957525</v>
      </c>
      <c r="AC12" s="205">
        <f>('Balance Sheet'!AC29+'Balance Sheet'!AC34)/'Balance Sheet'!AC42</f>
        <v>0.41640337227788782</v>
      </c>
      <c r="AD12" s="205">
        <f>('Balance Sheet'!AD29+'Balance Sheet'!AD34)/'Balance Sheet'!AD42</f>
        <v>0.45417494880051917</v>
      </c>
      <c r="AE12" s="205">
        <f>('Balance Sheet'!AE29+'Balance Sheet'!AE34)/'Balance Sheet'!AE42</f>
        <v>0.46509743754101585</v>
      </c>
      <c r="AF12" s="205">
        <f>('Balance Sheet'!AF29+'Balance Sheet'!AF34)/'Balance Sheet'!AF42</f>
        <v>0.39679452957476069</v>
      </c>
      <c r="AG12" s="205">
        <f>('Balance Sheet'!AG29+'Balance Sheet'!AG34)/'Balance Sheet'!AG42</f>
        <v>0.40572144226775469</v>
      </c>
      <c r="AH12" s="205">
        <f>('Balance Sheet'!AH29+'Balance Sheet'!AH34)/'Balance Sheet'!AH42</f>
        <v>0.40556145302022112</v>
      </c>
      <c r="AI12" s="205">
        <f>('Balance Sheet'!AI29+'Balance Sheet'!AI34)/'Balance Sheet'!AI42</f>
        <v>0.37575531232907328</v>
      </c>
      <c r="AJ12" s="205">
        <f>('Balance Sheet'!AJ29+'Balance Sheet'!AJ34)/'Balance Sheet'!AJ42</f>
        <v>0.36975101703212304</v>
      </c>
      <c r="AK12" s="205">
        <f>('Balance Sheet'!AK29+'Balance Sheet'!AK34)/'Balance Sheet'!AK42</f>
        <v>0.43755602791840958</v>
      </c>
      <c r="AL12" s="205"/>
      <c r="AM12" s="205">
        <v>9.897985619247332E-3</v>
      </c>
      <c r="AN12" s="205">
        <v>4.3606363047074929E-2</v>
      </c>
      <c r="AO12" s="205">
        <v>0.17903458265338795</v>
      </c>
      <c r="AP12" s="205">
        <v>0.34632781774020138</v>
      </c>
      <c r="AQ12" s="205">
        <f t="shared" si="0"/>
        <v>0.28620752306496222</v>
      </c>
      <c r="AR12" s="205">
        <f t="shared" si="2"/>
        <v>0.27127196688616112</v>
      </c>
      <c r="AS12" s="205">
        <f t="shared" si="3"/>
        <v>0.43163374798364523</v>
      </c>
      <c r="AT12" s="205">
        <f t="shared" si="4"/>
        <v>0.41640337227788782</v>
      </c>
      <c r="AU12" s="205">
        <f t="shared" si="1"/>
        <v>0.40572144226775469</v>
      </c>
      <c r="AV12" s="205">
        <f>AK12</f>
        <v>0.43755602791840958</v>
      </c>
    </row>
    <row r="13" spans="1:48" x14ac:dyDescent="0.2">
      <c r="A13" s="204" t="s">
        <v>10</v>
      </c>
      <c r="B13" s="206" t="s">
        <v>141</v>
      </c>
      <c r="C13" s="206" t="s">
        <v>141</v>
      </c>
      <c r="D13" s="206" t="s">
        <v>141</v>
      </c>
      <c r="E13" s="206" t="s">
        <v>141</v>
      </c>
      <c r="F13" s="206" t="s">
        <v>141</v>
      </c>
      <c r="G13" s="206" t="s">
        <v>141</v>
      </c>
      <c r="H13" s="206" t="s">
        <v>141</v>
      </c>
      <c r="I13" s="324">
        <v>9.0433787942281504E-2</v>
      </c>
      <c r="J13" s="324">
        <v>0.21808701716449433</v>
      </c>
      <c r="K13" s="324">
        <v>4.0085646031317604E-2</v>
      </c>
      <c r="L13" s="325">
        <v>0.10959588144668303</v>
      </c>
      <c r="M13" s="325">
        <v>0.18543607336525375</v>
      </c>
      <c r="N13" s="325">
        <v>0.23584372446032764</v>
      </c>
      <c r="O13" s="325">
        <v>0.26931855411959493</v>
      </c>
      <c r="P13" s="325">
        <v>0.53007975735476554</v>
      </c>
      <c r="Q13" s="325">
        <v>0.5513294452687868</v>
      </c>
      <c r="R13" s="325">
        <v>0.58426558511383786</v>
      </c>
      <c r="S13" s="325">
        <v>0.43630954735773908</v>
      </c>
      <c r="T13" s="325">
        <v>0.48161532525505657</v>
      </c>
      <c r="U13" s="325">
        <v>0.61899283589664544</v>
      </c>
      <c r="V13" s="325">
        <v>0.54342939205211072</v>
      </c>
      <c r="W13" s="325">
        <v>0.57486705388340587</v>
      </c>
      <c r="X13" s="326">
        <v>1.2257010439390521</v>
      </c>
      <c r="Y13" s="326">
        <v>1.4701996853093078</v>
      </c>
      <c r="Z13" s="325">
        <v>1.6864768389785707</v>
      </c>
      <c r="AA13" s="325">
        <v>1.9044526931413499</v>
      </c>
      <c r="AB13" s="325">
        <v>1.8439213564884511</v>
      </c>
      <c r="AC13" s="326">
        <v>1.8803413856426501</v>
      </c>
      <c r="AD13" s="326">
        <v>1.9327120130809763</v>
      </c>
      <c r="AE13" s="326">
        <v>2.1531953427388291</v>
      </c>
      <c r="AF13" s="326">
        <v>1.8656935603495968</v>
      </c>
      <c r="AG13" s="326">
        <f>'Balance Sheet'!AG51/'P&amp;L'!AG56</f>
        <v>1.7951880382533554</v>
      </c>
      <c r="AH13" s="326">
        <f>'Balance Sheet'!AH51/('P&amp;L'!AG56+'P&amp;L'!AH56-'P&amp;L'!AD56)</f>
        <v>1.390132516459599</v>
      </c>
      <c r="AI13" s="326">
        <f>'Balance Sheet'!AI51/('P&amp;L'!AI56+'P&amp;L'!AG56-'P&amp;L'!AE56)</f>
        <v>1.1364735526719736</v>
      </c>
      <c r="AJ13" s="326">
        <f>'Balance Sheet'!AJ51/('P&amp;L'!AJ56+'P&amp;L'!AG56-'P&amp;L'!AF56)</f>
        <v>0.83295251593566044</v>
      </c>
      <c r="AK13" s="326">
        <f>'Balance Sheet'!AK51/('P&amp;L'!AK56)</f>
        <v>0.66719183259265913</v>
      </c>
      <c r="AL13" s="206"/>
      <c r="AM13" s="206" t="s">
        <v>141</v>
      </c>
      <c r="AN13" s="206" t="s">
        <v>141</v>
      </c>
      <c r="AO13" s="324">
        <v>9.0433787942281504E-2</v>
      </c>
      <c r="AP13" s="324">
        <v>0.18543607336525375</v>
      </c>
      <c r="AQ13" s="325">
        <f t="shared" si="0"/>
        <v>0.5513294452687868</v>
      </c>
      <c r="AR13" s="325">
        <f t="shared" si="2"/>
        <v>0.61899283589664544</v>
      </c>
      <c r="AS13" s="325">
        <f t="shared" si="3"/>
        <v>1.4701996853093078</v>
      </c>
      <c r="AT13" s="325">
        <f t="shared" si="4"/>
        <v>1.8803413856426501</v>
      </c>
      <c r="AU13" s="325">
        <f t="shared" si="1"/>
        <v>1.7951880382533554</v>
      </c>
      <c r="AV13" s="325">
        <f>AK13</f>
        <v>0.66719183259265913</v>
      </c>
    </row>
    <row r="14" spans="1:48" x14ac:dyDescent="0.2">
      <c r="A14" s="204"/>
      <c r="B14" s="207"/>
      <c r="C14" s="207"/>
      <c r="D14" s="207"/>
      <c r="E14" s="207"/>
      <c r="F14" s="207"/>
      <c r="G14" s="207"/>
      <c r="H14" s="207"/>
      <c r="I14" s="207"/>
      <c r="J14" s="207"/>
      <c r="K14" s="207"/>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7"/>
      <c r="AM14" s="207"/>
      <c r="AN14" s="207"/>
      <c r="AO14" s="207"/>
      <c r="AP14" s="207"/>
      <c r="AQ14" s="207"/>
      <c r="AR14" s="207"/>
      <c r="AS14" s="207"/>
      <c r="AT14" s="207"/>
      <c r="AU14" s="207"/>
      <c r="AV14" s="207"/>
    </row>
    <row r="15" spans="1:48" x14ac:dyDescent="0.2">
      <c r="A15" s="209" t="s">
        <v>259</v>
      </c>
      <c r="B15" s="3" t="s">
        <v>6</v>
      </c>
      <c r="C15" s="4" t="s">
        <v>20</v>
      </c>
      <c r="D15" s="4" t="s">
        <v>21</v>
      </c>
      <c r="E15" s="4" t="s">
        <v>22</v>
      </c>
      <c r="F15" s="3" t="s">
        <v>0</v>
      </c>
      <c r="G15" s="3" t="s">
        <v>19</v>
      </c>
      <c r="H15" s="4" t="s">
        <v>18</v>
      </c>
      <c r="I15" s="4" t="s">
        <v>136</v>
      </c>
      <c r="J15" s="3" t="s">
        <v>160</v>
      </c>
      <c r="K15" s="3" t="s">
        <v>163</v>
      </c>
      <c r="L15" s="3" t="s">
        <v>164</v>
      </c>
      <c r="M15" s="3" t="s">
        <v>165</v>
      </c>
      <c r="N15" s="3" t="s">
        <v>171</v>
      </c>
      <c r="O15" s="3" t="s">
        <v>180</v>
      </c>
      <c r="P15" s="3" t="s">
        <v>182</v>
      </c>
      <c r="Q15" s="3" t="s">
        <v>184</v>
      </c>
      <c r="R15" s="3" t="s">
        <v>186</v>
      </c>
      <c r="S15" s="3" t="s">
        <v>201</v>
      </c>
      <c r="T15" s="3" t="s">
        <v>204</v>
      </c>
      <c r="U15" s="3" t="s">
        <v>205</v>
      </c>
      <c r="V15" s="3" t="s">
        <v>209</v>
      </c>
      <c r="W15" s="3" t="s">
        <v>210</v>
      </c>
      <c r="X15" s="3" t="s">
        <v>212</v>
      </c>
      <c r="Y15" s="3" t="s">
        <v>216</v>
      </c>
      <c r="Z15" s="3" t="s">
        <v>222</v>
      </c>
      <c r="AA15" s="3" t="s">
        <v>228</v>
      </c>
      <c r="AB15" s="3" t="s">
        <v>238</v>
      </c>
      <c r="AC15" s="3" t="s">
        <v>241</v>
      </c>
      <c r="AD15" s="3" t="s">
        <v>242</v>
      </c>
      <c r="AE15" s="3" t="s">
        <v>244</v>
      </c>
      <c r="AF15" s="3" t="s">
        <v>249</v>
      </c>
      <c r="AG15" s="3" t="s">
        <v>256</v>
      </c>
      <c r="AH15" s="3" t="s">
        <v>263</v>
      </c>
      <c r="AI15" s="3" t="s">
        <v>266</v>
      </c>
      <c r="AJ15" s="3" t="s">
        <v>271</v>
      </c>
      <c r="AK15" s="3" t="s">
        <v>298</v>
      </c>
      <c r="AL15" s="199"/>
      <c r="AM15" s="4">
        <v>2005</v>
      </c>
      <c r="AN15" s="4">
        <v>2006</v>
      </c>
      <c r="AO15" s="4">
        <v>2007</v>
      </c>
      <c r="AP15" s="4">
        <v>2008</v>
      </c>
      <c r="AQ15" s="4">
        <v>2009</v>
      </c>
      <c r="AR15" s="3">
        <v>2010</v>
      </c>
      <c r="AS15" s="3">
        <v>2011</v>
      </c>
      <c r="AT15" s="3">
        <v>2012</v>
      </c>
      <c r="AU15" s="3">
        <v>2013</v>
      </c>
      <c r="AV15" s="3">
        <v>2014</v>
      </c>
    </row>
    <row r="16" spans="1:48" x14ac:dyDescent="0.2">
      <c r="A16" s="210" t="s">
        <v>147</v>
      </c>
      <c r="B16" s="211">
        <v>0.95933672623432842</v>
      </c>
      <c r="C16" s="211">
        <v>1.0021645700188735</v>
      </c>
      <c r="D16" s="211">
        <v>1.0771420374175567</v>
      </c>
      <c r="E16" s="211">
        <v>1.1857346159963058</v>
      </c>
      <c r="F16" s="211">
        <v>1.2607898378303439</v>
      </c>
      <c r="G16" s="211">
        <v>1.3043443351899335</v>
      </c>
      <c r="H16" s="211">
        <v>1.3898059703806591</v>
      </c>
      <c r="I16" s="211">
        <v>1.7688843715527127</v>
      </c>
      <c r="J16" s="211">
        <v>2.0272067975183266</v>
      </c>
      <c r="K16" s="211">
        <v>2.0505453085406451</v>
      </c>
      <c r="L16" s="211">
        <v>2.3164124175608598</v>
      </c>
      <c r="M16" s="211">
        <f>'Balance Sheet'!M23/5993227.24</f>
        <v>2.3467369810593066</v>
      </c>
      <c r="N16" s="211">
        <f>'Balance Sheet'!N23/5993227.24</f>
        <v>1.9684227758398829</v>
      </c>
      <c r="O16" s="211">
        <f>'Balance Sheet'!O23/5993227.24</f>
        <v>2.0588985709809329</v>
      </c>
      <c r="P16" s="211">
        <f>'Balance Sheet'!P23/5993227.24</f>
        <v>2.0773692538980049</v>
      </c>
      <c r="Q16" s="211">
        <f>'Balance Sheet'!Q23/5993227.24</f>
        <v>2.08601200978323</v>
      </c>
      <c r="R16" s="211">
        <f>'Balance Sheet'!R23/5993227.24</f>
        <v>2.1739512750395895</v>
      </c>
      <c r="S16" s="211">
        <f>'Balance Sheet'!S23/5993227.24</f>
        <v>2.1462711966182679</v>
      </c>
      <c r="T16" s="211">
        <f>'Balance Sheet'!T23/5993227.24</f>
        <v>2.3159825990512584</v>
      </c>
      <c r="U16" s="211">
        <f>'Balance Sheet'!U23/5993227.24</f>
        <v>2.3191219760924664</v>
      </c>
      <c r="V16" s="211">
        <f>'Balance Sheet'!V23/5993227.24</f>
        <v>2.5279336813532871</v>
      </c>
      <c r="W16" s="211">
        <f>'Balance Sheet'!W23/5993227.24</f>
        <v>2.6614267007169246</v>
      </c>
      <c r="X16" s="211">
        <f>'Balance Sheet'!X23/5993227.24</f>
        <v>2.8505700377881884</v>
      </c>
      <c r="Y16" s="211">
        <f>'Balance Sheet'!Y23/5993227.24</f>
        <v>2.8794462997868906</v>
      </c>
      <c r="Z16" s="211">
        <f>'Balance Sheet'!Z23/5993227.24</f>
        <v>3.1049239841604939</v>
      </c>
      <c r="AA16" s="211">
        <f>'Balance Sheet'!AA23/5993227.24</f>
        <v>2.8536870562578569</v>
      </c>
      <c r="AB16" s="211">
        <f>'Balance Sheet'!AB23/5993227.24</f>
        <v>3.1616601942829052</v>
      </c>
      <c r="AC16" s="211">
        <f>'Balance Sheet'!AC23/5993227.24</f>
        <v>3.0797297117003692</v>
      </c>
      <c r="AD16" s="211">
        <f>'Balance Sheet'!AD23/5993227.24</f>
        <v>3.0885363192068787</v>
      </c>
      <c r="AE16" s="211">
        <f>'Balance Sheet'!AE23/5993227.24</f>
        <v>2.9429589924909969</v>
      </c>
      <c r="AF16" s="211">
        <f>'Balance Sheet'!AF23/5993227.24</f>
        <v>2.7206417088900503</v>
      </c>
      <c r="AG16" s="211">
        <f>'Balance Sheet'!AG23/5993227.24</f>
        <v>2.717080522379792</v>
      </c>
      <c r="AH16" s="211">
        <f>'Balance Sheet'!AH23/5993227.24</f>
        <v>2.5372381842140861</v>
      </c>
      <c r="AI16" s="211">
        <f>'Balance Sheet'!AI23/5993227.24</f>
        <v>2.6468889572757131</v>
      </c>
      <c r="AJ16" s="211">
        <f>'Balance Sheet'!AJ23/5993227.24</f>
        <v>2.3382225366779186</v>
      </c>
      <c r="AK16" s="211">
        <f>'Balance Sheet'!AK23/5993227.24</f>
        <v>1.7362527038103763</v>
      </c>
      <c r="AL16" s="51"/>
      <c r="AM16" s="211">
        <v>1.0362552179816895</v>
      </c>
      <c r="AN16" s="211">
        <v>1.4544734666192967</v>
      </c>
      <c r="AO16" s="211">
        <v>2.1817864526691966</v>
      </c>
      <c r="AP16" s="211">
        <f>M16</f>
        <v>2.3467369810593066</v>
      </c>
      <c r="AQ16" s="211">
        <f>Q16</f>
        <v>2.08601200978323</v>
      </c>
      <c r="AR16" s="211">
        <f t="shared" si="2"/>
        <v>2.3191219760924664</v>
      </c>
      <c r="AS16" s="211">
        <f>Y16</f>
        <v>2.8794462997868906</v>
      </c>
      <c r="AT16" s="211">
        <f t="shared" si="4"/>
        <v>3.0797297117003692</v>
      </c>
      <c r="AU16" s="211">
        <f>AG16</f>
        <v>2.717080522379792</v>
      </c>
      <c r="AV16" s="211">
        <f>AK16</f>
        <v>1.7362527038103763</v>
      </c>
    </row>
    <row r="17" spans="1:48" x14ac:dyDescent="0.2">
      <c r="A17" s="7" t="s">
        <v>11</v>
      </c>
      <c r="B17" s="214">
        <v>9.1086651338119454E-2</v>
      </c>
      <c r="C17" s="214">
        <v>0.15747525702028944</v>
      </c>
      <c r="D17" s="214">
        <v>0.28110380810456304</v>
      </c>
      <c r="E17" s="214">
        <v>0.34471628010554123</v>
      </c>
      <c r="F17" s="214">
        <v>7.6188834782109804E-2</v>
      </c>
      <c r="G17" s="214">
        <v>0.17769725013797408</v>
      </c>
      <c r="H17" s="214">
        <v>0.27655083540600073</v>
      </c>
      <c r="I17" s="214">
        <v>0.37497043078913855</v>
      </c>
      <c r="J17" s="214">
        <v>0.10307034511843405</v>
      </c>
      <c r="K17" s="214">
        <v>0.25542432127102194</v>
      </c>
      <c r="L17" s="214">
        <v>0.46041454620365768</v>
      </c>
      <c r="M17" s="214">
        <v>0.38021935574063098</v>
      </c>
      <c r="N17" s="214">
        <f>'P&amp;L'!N61</f>
        <v>-3.2300000000000002E-2</v>
      </c>
      <c r="O17" s="214">
        <f>'P&amp;L'!O61</f>
        <v>-4.053258624647111E-2</v>
      </c>
      <c r="P17" s="214">
        <f>'P&amp;L'!P61</f>
        <v>-1.3202069074223857E-2</v>
      </c>
      <c r="Q17" s="214">
        <f>'P&amp;L'!Q61</f>
        <v>3.5883004496255345E-2</v>
      </c>
      <c r="R17" s="214">
        <f>'P&amp;L'!R61</f>
        <v>2.1949943616688228E-2</v>
      </c>
      <c r="S17" s="214">
        <f>'P&amp;L'!S61</f>
        <v>9.8455302355596991E-2</v>
      </c>
      <c r="T17" s="214">
        <f>'P&amp;L'!T61</f>
        <v>0.18462440279504572</v>
      </c>
      <c r="U17" s="214">
        <f>'P&amp;L'!U61</f>
        <v>0.20941021418703956</v>
      </c>
      <c r="V17" s="214">
        <f>'P&amp;L'!V61</f>
        <v>6.5469735133887569E-2</v>
      </c>
      <c r="W17" s="214">
        <f>'P&amp;L'!W61</f>
        <v>0.16341863252960856</v>
      </c>
      <c r="X17" s="214">
        <f>'P&amp;L'!X61</f>
        <v>0.2009206312023637</v>
      </c>
      <c r="Y17" s="214">
        <f>'P&amp;L'!Y61</f>
        <v>0.22652136247048094</v>
      </c>
      <c r="Z17" s="214">
        <f>'P&amp;L'!Z61</f>
        <v>2.8849898906886766E-2</v>
      </c>
      <c r="AA17" s="214">
        <f>'P&amp;L'!AA61</f>
        <v>7.5200000000000003E-2</v>
      </c>
      <c r="AB17" s="214">
        <f>'P&amp;L'!AB61</f>
        <v>0.10299999999999999</v>
      </c>
      <c r="AC17" s="214">
        <f>'P&amp;L'!AC61</f>
        <v>9.9400000000000002E-2</v>
      </c>
      <c r="AD17" s="214">
        <f>'P&amp;L'!AD61</f>
        <v>6.3234712254961987E-3</v>
      </c>
      <c r="AE17" s="214">
        <f>'P&amp;L'!AE61</f>
        <v>1.1946318257740549E-2</v>
      </c>
      <c r="AF17" s="214">
        <f>'P&amp;L'!AF61</f>
        <v>3.4918081964801319E-2</v>
      </c>
      <c r="AG17" s="214">
        <f>'P&amp;L'!AG61</f>
        <v>3.1492214868862542E-2</v>
      </c>
      <c r="AH17" s="214">
        <f>'P&amp;L'!AH61</f>
        <v>2.9013583673159704E-2</v>
      </c>
      <c r="AI17" s="214">
        <f>'P&amp;L'!AI61</f>
        <v>5.5444251768434531E-2</v>
      </c>
      <c r="AJ17" s="214">
        <f>'P&amp;L'!AJ61</f>
        <v>0.10230281206557421</v>
      </c>
      <c r="AK17" s="214">
        <f>'P&amp;L'!AK61</f>
        <v>0.14096328508311326</v>
      </c>
      <c r="AL17" s="214"/>
      <c r="AM17" s="214">
        <v>0.23049267859898467</v>
      </c>
      <c r="AN17" s="214">
        <v>0.34471628010554123</v>
      </c>
      <c r="AO17" s="214">
        <v>0.37497043078913855</v>
      </c>
      <c r="AP17" s="214">
        <v>0.38021935574063098</v>
      </c>
      <c r="AQ17" s="214">
        <f>Q17</f>
        <v>3.5883004496255345E-2</v>
      </c>
      <c r="AR17" s="214">
        <f t="shared" si="2"/>
        <v>0.20941021418703956</v>
      </c>
      <c r="AS17" s="214">
        <f>Y17</f>
        <v>0.22652136247048094</v>
      </c>
      <c r="AT17" s="214">
        <f t="shared" si="4"/>
        <v>9.9400000000000002E-2</v>
      </c>
      <c r="AU17" s="214">
        <f>AG17</f>
        <v>3.1492214868862542E-2</v>
      </c>
      <c r="AV17" s="214">
        <f>AK17</f>
        <v>0.14096328508311326</v>
      </c>
    </row>
    <row r="18" spans="1:48" x14ac:dyDescent="0.2">
      <c r="A18" s="7" t="s">
        <v>12</v>
      </c>
      <c r="B18" s="214">
        <v>2.6545130633157835E-2</v>
      </c>
      <c r="C18" s="214">
        <v>8.8062237399828672E-2</v>
      </c>
      <c r="D18" s="214">
        <v>0.17177506521511438</v>
      </c>
      <c r="E18" s="214">
        <v>0.26448004330968766</v>
      </c>
      <c r="F18" s="214">
        <v>7.6638175328055808E-2</v>
      </c>
      <c r="G18" s="214">
        <v>0.22807695174261405</v>
      </c>
      <c r="H18" s="214">
        <v>0.33021274194168548</v>
      </c>
      <c r="I18" s="214">
        <v>0.42112586406785402</v>
      </c>
      <c r="J18" s="214">
        <v>4.1724765303576238E-2</v>
      </c>
      <c r="K18" s="214">
        <v>0.19758386468256123</v>
      </c>
      <c r="L18" s="214">
        <v>0.31503227299620962</v>
      </c>
      <c r="M18" s="214">
        <v>0.46398407546449044</v>
      </c>
      <c r="N18" s="214">
        <f>CashFlow!N29/5993227.24</f>
        <v>6.3765811756538698E-2</v>
      </c>
      <c r="O18" s="214">
        <f>CashFlow!O29/5993227.24</f>
        <v>0.15470212672930453</v>
      </c>
      <c r="P18" s="214">
        <f>CashFlow!P29/5993227.24</f>
        <v>0.20874396212615492</v>
      </c>
      <c r="Q18" s="214">
        <f>CashFlow!Q29/5993227.24</f>
        <v>0.23263910146680838</v>
      </c>
      <c r="R18" s="214">
        <f>CashFlow!R29/5993227.24</f>
        <v>1.7139346780383383E-2</v>
      </c>
      <c r="S18" s="214">
        <f>CashFlow!S29/5993227.24</f>
        <v>7.4867343091098937E-2</v>
      </c>
      <c r="T18" s="214">
        <f>CashFlow!T29/5993227.24</f>
        <v>0.16796359618761927</v>
      </c>
      <c r="U18" s="214">
        <f>CashFlow!U29/5993227.24</f>
        <v>0.23878570638012384</v>
      </c>
      <c r="V18" s="214">
        <f>CashFlow!V29/5993227.24</f>
        <v>9.0484805311670441E-2</v>
      </c>
      <c r="W18" s="214">
        <f>CashFlow!W29/5993227.24</f>
        <v>0.1379096715178115</v>
      </c>
      <c r="X18" s="214">
        <f>CashFlow!X29/5993227.24</f>
        <v>0.24777118245895177</v>
      </c>
      <c r="Y18" s="214">
        <f>CashFlow!Y29/5993227.24</f>
        <v>0.30119248406806615</v>
      </c>
      <c r="Z18" s="214">
        <f>CashFlow!Z29/5993227.24</f>
        <v>8.3812773967168977E-2</v>
      </c>
      <c r="AA18" s="214">
        <f>CashFlow!AA29/5993227.24</f>
        <v>0.13461044737559458</v>
      </c>
      <c r="AB18" s="214">
        <f>CashFlow!AB29/5993227.24</f>
        <v>0.24880918748543898</v>
      </c>
      <c r="AC18" s="214">
        <f>CashFlow!AC29/5993227.24</f>
        <v>0.30445316470262856</v>
      </c>
      <c r="AD18" s="214">
        <f>CashFlow!AD29/5993227.24</f>
        <v>4.1834222191114517E-2</v>
      </c>
      <c r="AE18" s="214">
        <f>CashFlow!AE29/5993227.24</f>
        <v>9.686300498093578E-2</v>
      </c>
      <c r="AF18" s="214">
        <f>CashFlow!AF29/5993227.24</f>
        <v>0.17182562228359624</v>
      </c>
      <c r="AG18" s="214">
        <f>CashFlow!AG29/5993227.24</f>
        <v>0.20331299835712552</v>
      </c>
      <c r="AH18" s="214">
        <f>CashFlow!AH29/5993227.24</f>
        <v>7.2801511193825511E-2</v>
      </c>
      <c r="AI18" s="214">
        <f>CashFlow!AI29/5993227.24</f>
        <v>0.17788245920072937</v>
      </c>
      <c r="AJ18" s="214">
        <f>CashFlow!AJ29/5993227.24</f>
        <v>0.2157270112120761</v>
      </c>
      <c r="AK18" s="214">
        <f>CashFlow!AK29/5993227.24</f>
        <v>0.30129176279990344</v>
      </c>
      <c r="AL18" s="214"/>
      <c r="AM18" s="214">
        <v>0.25424782658499695</v>
      </c>
      <c r="AN18" s="214">
        <v>0.26448004330968766</v>
      </c>
      <c r="AO18" s="214">
        <v>0.42112586406785402</v>
      </c>
      <c r="AP18" s="214">
        <v>0.46398407546449044</v>
      </c>
      <c r="AQ18" s="214">
        <f>Q18</f>
        <v>0.23263910146680838</v>
      </c>
      <c r="AR18" s="214">
        <f t="shared" si="2"/>
        <v>0.23878570638012384</v>
      </c>
      <c r="AS18" s="214">
        <f>Y18</f>
        <v>0.30119248406806615</v>
      </c>
      <c r="AT18" s="214">
        <f t="shared" si="4"/>
        <v>0.30445316470262856</v>
      </c>
      <c r="AU18" s="214">
        <f>AG18</f>
        <v>0.20331299835712552</v>
      </c>
      <c r="AV18" s="214">
        <f>AK18</f>
        <v>0.30129176279990344</v>
      </c>
    </row>
    <row r="19" spans="1:48" x14ac:dyDescent="0.2">
      <c r="A19" s="7" t="s">
        <v>148</v>
      </c>
      <c r="B19" s="207">
        <v>0</v>
      </c>
      <c r="C19" s="207">
        <v>5.6099999999999997E-2</v>
      </c>
      <c r="D19" s="207">
        <v>5.6099999999999997E-2</v>
      </c>
      <c r="E19" s="207">
        <v>0.114</v>
      </c>
      <c r="F19" s="207">
        <v>0</v>
      </c>
      <c r="G19" s="207">
        <v>6.0100000000000001E-2</v>
      </c>
      <c r="H19" s="207">
        <v>6.0100000000000001E-2</v>
      </c>
      <c r="I19" s="207">
        <v>0.1231</v>
      </c>
      <c r="J19" s="207">
        <v>0</v>
      </c>
      <c r="K19" s="208">
        <v>7.8600000000000003E-2</v>
      </c>
      <c r="L19" s="208">
        <v>7.8600000000000003E-2</v>
      </c>
      <c r="M19" s="208">
        <v>7.8600000000000003E-2</v>
      </c>
      <c r="N19" s="208" t="s">
        <v>141</v>
      </c>
      <c r="O19" s="208" t="s">
        <v>141</v>
      </c>
      <c r="P19" s="208" t="s">
        <v>141</v>
      </c>
      <c r="Q19" s="208">
        <v>7.1000000000000004E-3</v>
      </c>
      <c r="R19" s="208" t="s">
        <v>141</v>
      </c>
      <c r="S19" s="208" t="s">
        <v>141</v>
      </c>
      <c r="T19" s="208" t="s">
        <v>141</v>
      </c>
      <c r="U19" s="322">
        <f>379/5993.22724</f>
        <v>6.3238049355191811E-2</v>
      </c>
      <c r="V19" s="208" t="s">
        <v>141</v>
      </c>
      <c r="W19" s="208" t="s">
        <v>141</v>
      </c>
      <c r="X19" s="208" t="s">
        <v>141</v>
      </c>
      <c r="Y19" s="322">
        <f>375.8/5993.22724</f>
        <v>6.2704113318419741E-2</v>
      </c>
      <c r="Z19" s="208" t="s">
        <v>141</v>
      </c>
      <c r="AA19" s="208" t="s">
        <v>141</v>
      </c>
      <c r="AB19" s="208" t="s">
        <v>141</v>
      </c>
      <c r="AC19" s="322">
        <v>1.9300000000000001E-2</v>
      </c>
      <c r="AD19" s="208" t="s">
        <v>141</v>
      </c>
      <c r="AE19" s="208" t="s">
        <v>141</v>
      </c>
      <c r="AF19" s="208" t="s">
        <v>141</v>
      </c>
      <c r="AG19" s="322">
        <f>115/5993.22724</f>
        <v>1.9188326321496196E-2</v>
      </c>
      <c r="AH19" s="208" t="s">
        <v>141</v>
      </c>
      <c r="AI19" s="208" t="s">
        <v>141</v>
      </c>
      <c r="AJ19" s="208" t="s">
        <v>141</v>
      </c>
      <c r="AK19" s="208" t="s">
        <v>141</v>
      </c>
      <c r="AL19" s="215"/>
      <c r="AM19" s="207">
        <v>0.1101</v>
      </c>
      <c r="AN19" s="323">
        <v>0.114</v>
      </c>
      <c r="AO19" s="207">
        <v>0.1231</v>
      </c>
      <c r="AP19" s="208">
        <v>7.8600000000000003E-2</v>
      </c>
      <c r="AQ19" s="208">
        <f>Q19</f>
        <v>7.1000000000000004E-3</v>
      </c>
      <c r="AR19" s="322">
        <f t="shared" si="2"/>
        <v>6.3238049355191811E-2</v>
      </c>
      <c r="AS19" s="322">
        <f>Y19</f>
        <v>6.2704113318419741E-2</v>
      </c>
      <c r="AT19" s="322">
        <f t="shared" si="4"/>
        <v>1.9300000000000001E-2</v>
      </c>
      <c r="AU19" s="322">
        <f>AG19</f>
        <v>1.9188326321496196E-2</v>
      </c>
      <c r="AV19" s="322" t="str">
        <f>AK19</f>
        <v>-</v>
      </c>
    </row>
    <row r="20" spans="1:48" x14ac:dyDescent="0.2">
      <c r="A20" s="222"/>
      <c r="B20" s="223"/>
      <c r="C20" s="224"/>
      <c r="D20" s="225"/>
      <c r="E20" s="225"/>
      <c r="F20" s="223"/>
      <c r="G20" s="217"/>
      <c r="H20" s="221"/>
      <c r="I20" s="221"/>
      <c r="J20" s="223"/>
      <c r="K20" s="217"/>
      <c r="L20" s="217"/>
      <c r="M20" s="217"/>
      <c r="N20" s="217"/>
      <c r="O20" s="217"/>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row>
    <row r="21" spans="1:48" x14ac:dyDescent="0.2">
      <c r="A21" s="88" t="s">
        <v>262</v>
      </c>
    </row>
    <row r="22" spans="1:48" x14ac:dyDescent="0.2">
      <c r="B22" s="217"/>
      <c r="C22" s="226"/>
      <c r="D22" s="226"/>
      <c r="E22" s="226"/>
      <c r="F22" s="226"/>
      <c r="G22" s="226"/>
      <c r="H22" s="221"/>
      <c r="I22" s="221"/>
      <c r="J22" s="226"/>
      <c r="K22" s="226"/>
      <c r="L22" s="226"/>
      <c r="M22" s="226"/>
      <c r="N22" s="226"/>
      <c r="O22" s="226"/>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row>
    <row r="23" spans="1:48" x14ac:dyDescent="0.2">
      <c r="B23" s="217"/>
      <c r="C23" s="226"/>
      <c r="D23" s="226"/>
      <c r="E23" s="226"/>
      <c r="F23" s="226"/>
      <c r="G23" s="226"/>
      <c r="H23" s="221"/>
      <c r="I23" s="30"/>
      <c r="J23" s="226"/>
      <c r="K23" s="226"/>
      <c r="L23" s="226"/>
      <c r="M23" s="226"/>
      <c r="N23" s="226"/>
      <c r="O23" s="226"/>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row>
    <row r="24" spans="1:48" x14ac:dyDescent="0.2">
      <c r="B24" s="217"/>
      <c r="C24" s="226"/>
      <c r="D24" s="226"/>
      <c r="E24" s="226"/>
      <c r="F24" s="226"/>
      <c r="G24" s="226"/>
      <c r="H24" s="221"/>
      <c r="I24" s="221"/>
      <c r="J24" s="226"/>
      <c r="K24" s="226"/>
      <c r="L24" s="226"/>
      <c r="M24" s="226"/>
      <c r="N24" s="226"/>
      <c r="O24" s="226"/>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row>
    <row r="25" spans="1:48" x14ac:dyDescent="0.2">
      <c r="B25" s="217"/>
      <c r="C25" s="226"/>
      <c r="D25" s="226"/>
      <c r="E25" s="226"/>
      <c r="F25" s="226"/>
      <c r="G25" s="226"/>
      <c r="H25" s="221"/>
      <c r="I25" s="221"/>
      <c r="J25" s="226"/>
      <c r="K25" s="226"/>
      <c r="L25" s="226"/>
      <c r="M25" s="226"/>
      <c r="N25" s="226"/>
      <c r="O25" s="226"/>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row>
    <row r="26" spans="1:48" x14ac:dyDescent="0.2">
      <c r="B26" s="217"/>
      <c r="C26" s="226"/>
      <c r="D26" s="226"/>
      <c r="E26" s="226"/>
      <c r="F26" s="226"/>
      <c r="G26" s="226"/>
      <c r="H26" s="221"/>
      <c r="I26" s="221"/>
      <c r="J26" s="226"/>
      <c r="K26" s="226"/>
      <c r="L26" s="226"/>
      <c r="M26" s="226"/>
      <c r="N26" s="226"/>
      <c r="O26" s="226"/>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row>
    <row r="27" spans="1:48" x14ac:dyDescent="0.2">
      <c r="B27" s="217"/>
      <c r="C27" s="227"/>
      <c r="D27" s="227"/>
      <c r="E27" s="227"/>
      <c r="F27" s="227"/>
      <c r="G27" s="227"/>
      <c r="H27" s="228"/>
      <c r="I27" s="228"/>
      <c r="J27" s="227"/>
      <c r="K27" s="227"/>
      <c r="L27" s="227"/>
      <c r="M27" s="227"/>
      <c r="N27" s="227"/>
      <c r="O27" s="227"/>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row>
    <row r="28" spans="1:48" x14ac:dyDescent="0.2">
      <c r="B28" s="227"/>
      <c r="C28" s="227"/>
      <c r="D28" s="227"/>
      <c r="E28" s="227"/>
      <c r="F28" s="227"/>
      <c r="G28" s="227"/>
      <c r="H28" s="228"/>
      <c r="I28" s="228"/>
      <c r="J28" s="227"/>
      <c r="K28" s="227"/>
      <c r="L28" s="227"/>
      <c r="M28" s="227"/>
      <c r="N28" s="227"/>
      <c r="O28" s="227"/>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row>
    <row r="29" spans="1:48" x14ac:dyDescent="0.2">
      <c r="B29" s="227"/>
      <c r="C29" s="227"/>
      <c r="D29" s="227"/>
      <c r="E29" s="227"/>
      <c r="F29" s="227"/>
      <c r="G29" s="227"/>
      <c r="H29" s="228"/>
      <c r="I29" s="228"/>
      <c r="J29" s="227"/>
      <c r="K29" s="227"/>
      <c r="L29" s="227"/>
      <c r="M29" s="227"/>
      <c r="N29" s="227"/>
      <c r="O29" s="227"/>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row>
    <row r="30" spans="1:48" x14ac:dyDescent="0.2">
      <c r="B30" s="227"/>
      <c r="C30" s="227"/>
      <c r="D30" s="227"/>
      <c r="E30" s="227"/>
      <c r="F30" s="227"/>
      <c r="G30" s="227"/>
      <c r="H30" s="228"/>
      <c r="I30" s="228"/>
      <c r="J30" s="227"/>
      <c r="K30" s="227"/>
      <c r="L30" s="227"/>
      <c r="M30" s="227"/>
      <c r="N30" s="227"/>
      <c r="O30" s="227"/>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row>
    <row r="31" spans="1:48" x14ac:dyDescent="0.2">
      <c r="B31" s="227"/>
      <c r="C31" s="227"/>
      <c r="D31" s="227"/>
      <c r="E31" s="227"/>
      <c r="F31" s="227"/>
      <c r="G31" s="227"/>
      <c r="H31" s="228"/>
      <c r="I31" s="228"/>
      <c r="J31" s="227"/>
      <c r="K31" s="227"/>
      <c r="L31" s="227"/>
      <c r="M31" s="227"/>
      <c r="N31" s="227"/>
      <c r="O31" s="227"/>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row>
    <row r="32" spans="1:48" x14ac:dyDescent="0.2">
      <c r="B32" s="227"/>
      <c r="C32" s="227"/>
      <c r="D32" s="227"/>
      <c r="E32" s="227"/>
      <c r="F32" s="227"/>
      <c r="G32" s="227"/>
      <c r="H32" s="228"/>
      <c r="I32" s="228"/>
      <c r="J32" s="227"/>
      <c r="K32" s="227"/>
      <c r="L32" s="227"/>
      <c r="M32" s="227"/>
      <c r="N32" s="227"/>
      <c r="O32" s="227"/>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row>
    <row r="33" spans="2:39" x14ac:dyDescent="0.2">
      <c r="B33" s="227"/>
      <c r="C33" s="227"/>
      <c r="D33" s="227"/>
      <c r="E33" s="227"/>
      <c r="F33" s="227"/>
      <c r="G33" s="227"/>
      <c r="H33" s="228"/>
      <c r="I33" s="228"/>
      <c r="J33" s="227"/>
      <c r="K33" s="227"/>
      <c r="L33" s="227"/>
      <c r="M33" s="227"/>
      <c r="N33" s="227"/>
      <c r="O33" s="227"/>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row>
    <row r="34" spans="2:39" x14ac:dyDescent="0.2">
      <c r="B34" s="227"/>
      <c r="C34" s="227"/>
      <c r="D34" s="227"/>
      <c r="E34" s="227"/>
      <c r="F34" s="227"/>
      <c r="G34" s="227"/>
      <c r="H34" s="228"/>
      <c r="I34" s="228"/>
      <c r="J34" s="227"/>
      <c r="K34" s="227"/>
      <c r="L34" s="227"/>
      <c r="M34" s="227"/>
      <c r="N34" s="227"/>
      <c r="O34" s="227"/>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row>
    <row r="35" spans="2:39" x14ac:dyDescent="0.2">
      <c r="B35" s="227"/>
      <c r="C35" s="227"/>
      <c r="D35" s="227"/>
      <c r="E35" s="227"/>
      <c r="F35" s="227"/>
      <c r="G35" s="227"/>
      <c r="H35" s="228"/>
      <c r="I35" s="228"/>
      <c r="J35" s="227"/>
      <c r="K35" s="227"/>
      <c r="L35" s="227"/>
      <c r="M35" s="227"/>
      <c r="N35" s="227"/>
      <c r="O35" s="227"/>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row>
    <row r="36" spans="2:39" x14ac:dyDescent="0.2">
      <c r="B36" s="227"/>
      <c r="C36" s="227"/>
      <c r="D36" s="227"/>
      <c r="E36" s="227"/>
      <c r="F36" s="227"/>
      <c r="G36" s="227"/>
      <c r="H36" s="228"/>
      <c r="I36" s="228"/>
      <c r="J36" s="227"/>
      <c r="K36" s="227"/>
      <c r="L36" s="227"/>
      <c r="M36" s="227"/>
      <c r="N36" s="227"/>
      <c r="O36" s="227"/>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row>
    <row r="37" spans="2:39" x14ac:dyDescent="0.2">
      <c r="B37" s="227"/>
      <c r="C37" s="227"/>
      <c r="D37" s="227"/>
      <c r="E37" s="227"/>
      <c r="F37" s="227"/>
      <c r="G37" s="227"/>
      <c r="H37" s="228"/>
      <c r="I37" s="228"/>
      <c r="J37" s="227"/>
      <c r="K37" s="227"/>
      <c r="L37" s="227"/>
      <c r="M37" s="227"/>
      <c r="N37" s="227"/>
      <c r="O37" s="227"/>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row>
    <row r="38" spans="2:39" x14ac:dyDescent="0.2">
      <c r="B38" s="227"/>
      <c r="C38" s="227"/>
      <c r="D38" s="227"/>
      <c r="E38" s="227"/>
      <c r="F38" s="227"/>
      <c r="G38" s="227"/>
      <c r="H38" s="228"/>
      <c r="I38" s="228"/>
      <c r="J38" s="227"/>
      <c r="K38" s="227"/>
      <c r="L38" s="227"/>
      <c r="M38" s="227"/>
      <c r="N38" s="227"/>
      <c r="O38" s="227"/>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row>
    <row r="39" spans="2:39" x14ac:dyDescent="0.2">
      <c r="B39" s="227"/>
      <c r="C39" s="227"/>
      <c r="D39" s="227"/>
      <c r="E39" s="227"/>
      <c r="F39" s="227"/>
      <c r="G39" s="227"/>
      <c r="H39" s="228"/>
      <c r="I39" s="228"/>
      <c r="J39" s="227"/>
      <c r="K39" s="227"/>
      <c r="L39" s="227"/>
      <c r="M39" s="227"/>
      <c r="N39" s="227"/>
      <c r="O39" s="227"/>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row>
    <row r="40" spans="2:39" x14ac:dyDescent="0.2">
      <c r="B40" s="227"/>
      <c r="C40" s="227"/>
      <c r="D40" s="227"/>
      <c r="E40" s="227"/>
      <c r="F40" s="227"/>
      <c r="G40" s="227"/>
      <c r="H40" s="228"/>
      <c r="I40" s="228"/>
      <c r="J40" s="227"/>
      <c r="K40" s="227"/>
      <c r="L40" s="227"/>
      <c r="M40" s="227"/>
      <c r="N40" s="227"/>
      <c r="O40" s="227"/>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row>
    <row r="41" spans="2:39" x14ac:dyDescent="0.2">
      <c r="B41" s="227"/>
      <c r="C41" s="227"/>
      <c r="D41" s="227"/>
      <c r="E41" s="227"/>
      <c r="F41" s="227"/>
      <c r="G41" s="227"/>
      <c r="H41" s="228"/>
      <c r="I41" s="228"/>
      <c r="J41" s="227"/>
      <c r="K41" s="227"/>
      <c r="L41" s="227"/>
      <c r="M41" s="227"/>
      <c r="N41" s="227"/>
      <c r="O41" s="227"/>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row>
    <row r="42" spans="2:39" x14ac:dyDescent="0.2">
      <c r="B42" s="227"/>
      <c r="C42" s="227"/>
      <c r="D42" s="227"/>
      <c r="E42" s="227"/>
      <c r="F42" s="227"/>
      <c r="G42" s="227"/>
      <c r="H42" s="228"/>
      <c r="I42" s="228"/>
      <c r="J42" s="227"/>
      <c r="K42" s="227"/>
      <c r="L42" s="227"/>
      <c r="M42" s="227"/>
      <c r="N42" s="227"/>
      <c r="O42" s="227"/>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row>
    <row r="43" spans="2:39" x14ac:dyDescent="0.2">
      <c r="B43" s="227"/>
      <c r="C43" s="227"/>
      <c r="D43" s="227"/>
      <c r="E43" s="227"/>
      <c r="F43" s="227"/>
      <c r="G43" s="227"/>
      <c r="H43" s="228"/>
      <c r="I43" s="228"/>
      <c r="J43" s="227"/>
      <c r="K43" s="227"/>
      <c r="L43" s="227"/>
      <c r="M43" s="227"/>
      <c r="N43" s="227"/>
      <c r="O43" s="227"/>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row>
    <row r="44" spans="2:39" x14ac:dyDescent="0.2">
      <c r="B44" s="227"/>
      <c r="C44" s="227"/>
      <c r="D44" s="227"/>
      <c r="E44" s="227"/>
      <c r="F44" s="227"/>
      <c r="G44" s="227"/>
      <c r="H44" s="228"/>
      <c r="I44" s="228"/>
      <c r="J44" s="227"/>
      <c r="K44" s="227"/>
      <c r="L44" s="227"/>
      <c r="M44" s="227"/>
      <c r="N44" s="227"/>
      <c r="O44" s="227"/>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row>
  </sheetData>
  <phoneticPr fontId="2" type="noConversion"/>
  <pageMargins left="0.25" right="0.25" top="0.75" bottom="0.75" header="0.3" footer="0.3"/>
  <pageSetup paperSize="9" scale="64" orientation="landscape" r:id="rId1"/>
  <headerFooter alignWithMargins="0">
    <oddFooter>&amp;CPage &amp;P of &amp;N&amp;R&amp;F&amp;A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showGridLines="0" view="pageBreakPreview" topLeftCell="E1" zoomScaleNormal="100" zoomScaleSheetLayoutView="100" workbookViewId="0">
      <selection activeCell="AY24" sqref="AY24"/>
    </sheetView>
  </sheetViews>
  <sheetFormatPr defaultColWidth="11.42578125" defaultRowHeight="12.75" outlineLevelRow="1" outlineLevelCol="1" x14ac:dyDescent="0.2"/>
  <cols>
    <col min="1" max="1" width="37.42578125" style="36" customWidth="1"/>
    <col min="2" max="4" width="6.7109375" style="232" hidden="1" customWidth="1" outlineLevel="1"/>
    <col min="5" max="5" width="8.42578125" style="232" customWidth="1" collapsed="1"/>
    <col min="6" max="7" width="8.42578125" style="232" hidden="1" customWidth="1" outlineLevel="1"/>
    <col min="8" max="8" width="8.42578125" style="36" hidden="1" customWidth="1" outlineLevel="1"/>
    <col min="9" max="9" width="8.42578125" style="36" customWidth="1" collapsed="1"/>
    <col min="10" max="10" width="8.42578125" style="260" hidden="1" customWidth="1" outlineLevel="1"/>
    <col min="11" max="12" width="8.42578125" style="232" hidden="1" customWidth="1" outlineLevel="1"/>
    <col min="13" max="13" width="8.42578125" style="232" customWidth="1" collapsed="1"/>
    <col min="14" max="16" width="8.42578125" style="232" hidden="1" customWidth="1" outlineLevel="1"/>
    <col min="17" max="17" width="8.42578125" style="232" customWidth="1" collapsed="1"/>
    <col min="18" max="20" width="8.42578125" style="232" hidden="1" customWidth="1" outlineLevel="1"/>
    <col min="21" max="21" width="8.42578125" style="232" customWidth="1" collapsed="1"/>
    <col min="22" max="24" width="8.42578125" style="232" hidden="1" customWidth="1" outlineLevel="1"/>
    <col min="25" max="25" width="8.42578125" style="232" customWidth="1" collapsed="1"/>
    <col min="26" max="37" width="8.42578125" style="232" customWidth="1"/>
    <col min="38" max="38" width="6.7109375" style="261" customWidth="1"/>
    <col min="39" max="42" width="7.140625" style="36" customWidth="1"/>
    <col min="43" max="47" width="6.7109375" style="232" customWidth="1"/>
    <col min="48" max="50" width="6.7109375" style="36" customWidth="1"/>
    <col min="51" max="16384" width="11.42578125" style="36"/>
  </cols>
  <sheetData>
    <row r="1" spans="1:49" s="194" customFormat="1" x14ac:dyDescent="0.2">
      <c r="A1" s="194" t="s">
        <v>17</v>
      </c>
      <c r="B1" s="229"/>
      <c r="C1" s="229"/>
      <c r="D1" s="229"/>
      <c r="E1" s="229"/>
      <c r="F1" s="229"/>
      <c r="G1" s="229"/>
      <c r="J1" s="230"/>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31"/>
      <c r="AQ1" s="229"/>
      <c r="AR1" s="229"/>
      <c r="AS1" s="229"/>
      <c r="AT1" s="229"/>
      <c r="AU1" s="229"/>
    </row>
    <row r="2" spans="1:49" x14ac:dyDescent="0.2">
      <c r="S2" s="280"/>
      <c r="T2" s="280"/>
      <c r="U2" s="280"/>
      <c r="V2" s="280"/>
      <c r="W2" s="280"/>
      <c r="X2" s="280"/>
      <c r="Y2" s="280"/>
      <c r="Z2" s="280"/>
      <c r="AA2" s="280"/>
      <c r="AB2" s="280"/>
      <c r="AC2" s="280"/>
      <c r="AD2" s="280"/>
      <c r="AE2" s="280"/>
      <c r="AF2" s="280"/>
      <c r="AG2" s="280"/>
      <c r="AH2" s="280"/>
      <c r="AI2" s="280"/>
      <c r="AJ2" s="280"/>
      <c r="AK2" s="280"/>
    </row>
    <row r="3" spans="1:49" x14ac:dyDescent="0.2">
      <c r="A3" s="2" t="s">
        <v>15</v>
      </c>
      <c r="B3" s="3" t="s">
        <v>282</v>
      </c>
      <c r="C3" s="4" t="s">
        <v>283</v>
      </c>
      <c r="D3" s="4" t="s">
        <v>284</v>
      </c>
      <c r="E3" s="4" t="s">
        <v>294</v>
      </c>
      <c r="F3" s="3" t="s">
        <v>285</v>
      </c>
      <c r="G3" s="3" t="s">
        <v>286</v>
      </c>
      <c r="H3" s="4" t="s">
        <v>287</v>
      </c>
      <c r="I3" s="4" t="s">
        <v>288</v>
      </c>
      <c r="J3" s="5" t="s">
        <v>289</v>
      </c>
      <c r="K3" s="3" t="s">
        <v>290</v>
      </c>
      <c r="L3" s="3" t="s">
        <v>291</v>
      </c>
      <c r="M3" s="4"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4" t="s">
        <v>295</v>
      </c>
      <c r="AL3" s="6"/>
      <c r="AM3" s="4">
        <v>2005</v>
      </c>
      <c r="AN3" s="4">
        <v>2006</v>
      </c>
      <c r="AO3" s="4">
        <v>2007</v>
      </c>
      <c r="AP3" s="4">
        <v>2008</v>
      </c>
      <c r="AQ3" s="4">
        <v>2009</v>
      </c>
      <c r="AR3" s="4">
        <v>2010</v>
      </c>
      <c r="AS3" s="4">
        <v>2011</v>
      </c>
      <c r="AT3" s="4">
        <v>2012</v>
      </c>
      <c r="AU3" s="4">
        <v>2013</v>
      </c>
      <c r="AV3" s="4">
        <v>2014</v>
      </c>
    </row>
    <row r="4" spans="1:49" x14ac:dyDescent="0.2">
      <c r="A4" s="7" t="s">
        <v>191</v>
      </c>
      <c r="B4" s="21">
        <v>2298.9757100000006</v>
      </c>
      <c r="C4" s="21">
        <v>4705.4029100000007</v>
      </c>
      <c r="D4" s="21">
        <v>6999.8456980000037</v>
      </c>
      <c r="E4" s="21">
        <v>9262.3436400070004</v>
      </c>
      <c r="F4" s="21">
        <v>2388.0304900000001</v>
      </c>
      <c r="G4" s="21">
        <v>4466.4531579999993</v>
      </c>
      <c r="H4" s="21">
        <v>6666.1922709999981</v>
      </c>
      <c r="I4" s="21">
        <v>9126.6141559999978</v>
      </c>
      <c r="J4" s="23">
        <v>2129.7616429999998</v>
      </c>
      <c r="K4" s="21">
        <v>4673.9370719999997</v>
      </c>
      <c r="L4" s="21">
        <v>6883.8317349999961</v>
      </c>
      <c r="M4" s="21">
        <v>8488.330298887493</v>
      </c>
      <c r="N4" s="21">
        <v>1893.3995911999998</v>
      </c>
      <c r="O4" s="21">
        <v>3820.5294948553847</v>
      </c>
      <c r="P4" s="21">
        <v>6523.7600530000009</v>
      </c>
      <c r="Q4" s="21">
        <v>8922.4064729999991</v>
      </c>
      <c r="R4" s="21">
        <v>2460.4054039999937</v>
      </c>
      <c r="S4" s="21">
        <v>5014</v>
      </c>
      <c r="T4" s="21">
        <v>7533.1232059999929</v>
      </c>
      <c r="U4" s="21">
        <v>10091</v>
      </c>
      <c r="V4" s="21">
        <f t="shared" ref="V4:AA4" si="0">V6+V8+V10</f>
        <v>2069.5633639999974</v>
      </c>
      <c r="W4" s="21">
        <f t="shared" si="0"/>
        <v>4463.8003879999978</v>
      </c>
      <c r="X4" s="21">
        <f t="shared" si="0"/>
        <v>6846</v>
      </c>
      <c r="Y4" s="21">
        <f t="shared" si="0"/>
        <v>9712.0343527302357</v>
      </c>
      <c r="Z4" s="21">
        <f t="shared" si="0"/>
        <v>2352.7605239999998</v>
      </c>
      <c r="AA4" s="21">
        <f t="shared" si="0"/>
        <v>4571.4283380000179</v>
      </c>
      <c r="AB4" s="21">
        <v>7036.130462000051</v>
      </c>
      <c r="AC4" s="21">
        <v>9501.6102840000076</v>
      </c>
      <c r="AD4" s="21">
        <v>2371.4580860000319</v>
      </c>
      <c r="AE4" s="21">
        <v>4738</v>
      </c>
      <c r="AF4" s="21">
        <v>6947.264447000005</v>
      </c>
      <c r="AG4" s="21">
        <v>9340.6489440000005</v>
      </c>
      <c r="AH4" s="21">
        <v>2665.2943939999996</v>
      </c>
      <c r="AI4" s="21">
        <v>5124.7372340000002</v>
      </c>
      <c r="AJ4" s="21">
        <v>7475.890695000001</v>
      </c>
      <c r="AK4" s="21">
        <v>10089.704597</v>
      </c>
      <c r="AL4" s="23"/>
      <c r="AM4" s="21">
        <v>8201.2544550000002</v>
      </c>
      <c r="AN4" s="21">
        <v>9262.3436400070004</v>
      </c>
      <c r="AO4" s="21">
        <v>9126.6141559999978</v>
      </c>
      <c r="AP4" s="21">
        <v>8488.330298887493</v>
      </c>
      <c r="AQ4" s="21">
        <f>Q4</f>
        <v>8922.4064729999991</v>
      </c>
      <c r="AR4" s="21">
        <f>U4</f>
        <v>10091</v>
      </c>
      <c r="AS4" s="21">
        <f>Y4</f>
        <v>9712.0343527302357</v>
      </c>
      <c r="AT4" s="21">
        <f>AC4</f>
        <v>9501.6102840000076</v>
      </c>
      <c r="AU4" s="21">
        <f>AG4</f>
        <v>9340.6489440000005</v>
      </c>
      <c r="AV4" s="21">
        <f>AK4</f>
        <v>10089.704597</v>
      </c>
    </row>
    <row r="5" spans="1:49" s="237" customFormat="1" x14ac:dyDescent="0.2">
      <c r="A5" s="9" t="s">
        <v>137</v>
      </c>
      <c r="B5" s="233"/>
      <c r="C5" s="233"/>
      <c r="D5" s="233"/>
      <c r="E5" s="233"/>
      <c r="F5" s="233"/>
      <c r="G5" s="233"/>
      <c r="H5" s="234"/>
      <c r="I5" s="234"/>
      <c r="J5" s="235"/>
      <c r="K5" s="233"/>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
      <c r="AM5" s="234"/>
      <c r="AN5" s="14">
        <v>0.12938132706760408</v>
      </c>
      <c r="AO5" s="14">
        <v>-1.4653902865441548E-2</v>
      </c>
      <c r="AP5" s="14">
        <v>-6.9936544506254306E-2</v>
      </c>
      <c r="AQ5" s="14">
        <f t="shared" ref="AQ5:AV5" si="1">AQ4/AP4-1</f>
        <v>5.1137992847591907E-2</v>
      </c>
      <c r="AR5" s="14">
        <f t="shared" si="1"/>
        <v>0.13097290854617194</v>
      </c>
      <c r="AS5" s="14">
        <f t="shared" si="1"/>
        <v>-3.7554815902265837E-2</v>
      </c>
      <c r="AT5" s="14">
        <f t="shared" si="1"/>
        <v>-2.1666322532217341E-2</v>
      </c>
      <c r="AU5" s="14">
        <f t="shared" si="1"/>
        <v>-1.6940427484281706E-2</v>
      </c>
      <c r="AV5" s="14">
        <f t="shared" si="1"/>
        <v>8.0193106227502309E-2</v>
      </c>
      <c r="AW5" s="236"/>
    </row>
    <row r="6" spans="1:49" x14ac:dyDescent="0.2">
      <c r="A6" s="238" t="s">
        <v>27</v>
      </c>
      <c r="B6" s="21">
        <v>131.77700999999999</v>
      </c>
      <c r="C6" s="21">
        <v>406.12202000000002</v>
      </c>
      <c r="D6" s="21">
        <v>685.32191000000012</v>
      </c>
      <c r="E6" s="21">
        <v>845.44290000000001</v>
      </c>
      <c r="F6" s="21">
        <v>242.75050000000002</v>
      </c>
      <c r="G6" s="21">
        <v>357.34855000000005</v>
      </c>
      <c r="H6" s="21">
        <v>534.01554999999996</v>
      </c>
      <c r="I6" s="21">
        <v>853.17555000000004</v>
      </c>
      <c r="J6" s="23">
        <v>266.34699999999998</v>
      </c>
      <c r="K6" s="21">
        <v>419.58250999999996</v>
      </c>
      <c r="L6" s="21">
        <v>573.81975999999997</v>
      </c>
      <c r="M6" s="21">
        <v>616.328033</v>
      </c>
      <c r="N6" s="21">
        <v>89.579570000000004</v>
      </c>
      <c r="O6" s="21">
        <v>104.7199</v>
      </c>
      <c r="P6" s="21">
        <v>326.07224500000001</v>
      </c>
      <c r="Q6" s="21">
        <v>559.23963000000003</v>
      </c>
      <c r="R6" s="21">
        <v>94.225729999999714</v>
      </c>
      <c r="S6" s="21">
        <v>332</v>
      </c>
      <c r="T6" s="21">
        <v>505.24279000000081</v>
      </c>
      <c r="U6" s="21">
        <v>582.27562999999714</v>
      </c>
      <c r="V6" s="21">
        <v>152.61004999999989</v>
      </c>
      <c r="W6" s="21">
        <v>284.34244000000001</v>
      </c>
      <c r="X6" s="21">
        <v>514</v>
      </c>
      <c r="Y6" s="21">
        <v>961.99006699999995</v>
      </c>
      <c r="Z6" s="21">
        <v>219.648933</v>
      </c>
      <c r="AA6" s="21">
        <v>361.29362399999968</v>
      </c>
      <c r="AB6" s="21">
        <v>568.22528499999271</v>
      </c>
      <c r="AC6" s="21">
        <v>614.61674399999913</v>
      </c>
      <c r="AD6" s="21">
        <v>42.435510000000058</v>
      </c>
      <c r="AE6" s="21">
        <v>133</v>
      </c>
      <c r="AF6" s="21">
        <v>142.43735000000012</v>
      </c>
      <c r="AG6" s="21">
        <v>168.90523000000005</v>
      </c>
      <c r="AH6" s="21">
        <v>6.296549999999999</v>
      </c>
      <c r="AI6" s="21">
        <v>10.53875</v>
      </c>
      <c r="AJ6" s="21">
        <v>107.54682</v>
      </c>
      <c r="AK6" s="21">
        <v>264.010942</v>
      </c>
      <c r="AL6" s="23"/>
      <c r="AM6" s="21">
        <v>398.661</v>
      </c>
      <c r="AN6" s="21">
        <v>845.44290000000001</v>
      </c>
      <c r="AO6" s="21">
        <v>853.17555000000004</v>
      </c>
      <c r="AP6" s="21">
        <v>616.328033</v>
      </c>
      <c r="AQ6" s="21">
        <f>Q6</f>
        <v>559.23963000000003</v>
      </c>
      <c r="AR6" s="21">
        <f>U6</f>
        <v>582.27562999999714</v>
      </c>
      <c r="AS6" s="21">
        <f>Y6</f>
        <v>961.99006699999995</v>
      </c>
      <c r="AT6" s="21">
        <f>AC6</f>
        <v>614.61674399999913</v>
      </c>
      <c r="AU6" s="21">
        <f>AG6</f>
        <v>168.90523000000005</v>
      </c>
      <c r="AV6" s="21">
        <f>AK6</f>
        <v>264.010942</v>
      </c>
    </row>
    <row r="7" spans="1:49" s="237" customFormat="1" x14ac:dyDescent="0.2">
      <c r="A7" s="9" t="s">
        <v>137</v>
      </c>
      <c r="B7" s="233"/>
      <c r="C7" s="233"/>
      <c r="D7" s="233"/>
      <c r="E7" s="233"/>
      <c r="F7" s="233"/>
      <c r="G7" s="233"/>
      <c r="H7" s="234"/>
      <c r="I7" s="234"/>
      <c r="J7" s="235"/>
      <c r="K7" s="233"/>
      <c r="L7" s="234"/>
      <c r="M7" s="234"/>
      <c r="N7" s="234"/>
      <c r="O7" s="234"/>
      <c r="P7" s="234"/>
      <c r="Q7" s="234"/>
      <c r="R7" s="234"/>
      <c r="S7" s="234"/>
      <c r="T7" s="234"/>
      <c r="U7" s="234"/>
      <c r="W7" s="234"/>
      <c r="X7" s="234"/>
      <c r="Y7" s="234"/>
      <c r="Z7" s="234"/>
      <c r="AL7" s="23"/>
      <c r="AM7" s="234"/>
      <c r="AN7" s="14">
        <v>1.1207063143874119</v>
      </c>
      <c r="AO7" s="14">
        <v>9.1462711437992894E-3</v>
      </c>
      <c r="AP7" s="14">
        <v>-0.27760701417193689</v>
      </c>
      <c r="AQ7" s="14">
        <f t="shared" ref="AQ7:AV7" si="2">AQ6/AP6-1</f>
        <v>-9.2626653248465751E-2</v>
      </c>
      <c r="AR7" s="14">
        <f t="shared" si="2"/>
        <v>4.119164444765322E-2</v>
      </c>
      <c r="AS7" s="14">
        <f t="shared" si="2"/>
        <v>0.65212146522430392</v>
      </c>
      <c r="AT7" s="14">
        <f t="shared" si="2"/>
        <v>-0.36109865882846048</v>
      </c>
      <c r="AU7" s="14">
        <f t="shared" si="2"/>
        <v>-0.72518609092758424</v>
      </c>
      <c r="AV7" s="14">
        <f t="shared" si="2"/>
        <v>0.56307144544902443</v>
      </c>
    </row>
    <row r="8" spans="1:49" x14ac:dyDescent="0.2">
      <c r="A8" s="238" t="s">
        <v>28</v>
      </c>
      <c r="B8" s="21">
        <v>936.54313999999999</v>
      </c>
      <c r="C8" s="21">
        <v>1788.6261399999999</v>
      </c>
      <c r="D8" s="21">
        <v>2539.9112300000029</v>
      </c>
      <c r="E8" s="21">
        <v>3431.8622099999993</v>
      </c>
      <c r="F8" s="21">
        <v>852.29369999999972</v>
      </c>
      <c r="G8" s="21">
        <v>1527.4027299999993</v>
      </c>
      <c r="H8" s="21">
        <v>2269.670299999997</v>
      </c>
      <c r="I8" s="21">
        <v>3082.9940399999978</v>
      </c>
      <c r="J8" s="23">
        <v>589.00304000000006</v>
      </c>
      <c r="K8" s="21">
        <v>1524.1964199999998</v>
      </c>
      <c r="L8" s="21">
        <v>2324.986669999998</v>
      </c>
      <c r="M8" s="21">
        <v>3107.9819900000002</v>
      </c>
      <c r="N8" s="21">
        <v>645.20765000000006</v>
      </c>
      <c r="O8" s="21">
        <v>1467.6062600000005</v>
      </c>
      <c r="P8" s="21">
        <v>2529.8565724000009</v>
      </c>
      <c r="Q8" s="21">
        <v>3442.9668429999992</v>
      </c>
      <c r="R8" s="21">
        <v>1008.3456769999939</v>
      </c>
      <c r="S8" s="21">
        <v>1833</v>
      </c>
      <c r="T8" s="21">
        <v>2722.8845369999926</v>
      </c>
      <c r="U8" s="21">
        <v>3835.1747870000386</v>
      </c>
      <c r="V8" s="234">
        <v>706.73998999999822</v>
      </c>
      <c r="W8" s="21">
        <v>1854.8368189999976</v>
      </c>
      <c r="X8" s="21">
        <v>2412</v>
      </c>
      <c r="Y8" s="21">
        <v>3100.4365188001498</v>
      </c>
      <c r="Z8" s="21">
        <v>876.20640999999978</v>
      </c>
      <c r="AA8" s="265">
        <v>1718.4185800000187</v>
      </c>
      <c r="AB8" s="265">
        <v>2682.0556300000603</v>
      </c>
      <c r="AC8" s="265">
        <v>3897.8669100000061</v>
      </c>
      <c r="AD8" s="265">
        <v>1110.5641000000328</v>
      </c>
      <c r="AE8" s="265">
        <v>2025</v>
      </c>
      <c r="AF8" s="265">
        <v>2782.057830000007</v>
      </c>
      <c r="AG8" s="265">
        <v>4008.6917899999994</v>
      </c>
      <c r="AH8" s="265">
        <v>1293.9727899999998</v>
      </c>
      <c r="AI8" s="265">
        <v>2264.5232310000001</v>
      </c>
      <c r="AJ8" s="265">
        <v>3122.0985110000006</v>
      </c>
      <c r="AK8" s="265">
        <v>4328.8760610000008</v>
      </c>
      <c r="AL8" s="23"/>
      <c r="AM8" s="21">
        <v>3203.5237900000002</v>
      </c>
      <c r="AN8" s="21">
        <v>3431.8622099999993</v>
      </c>
      <c r="AO8" s="21">
        <v>3082.9940399999978</v>
      </c>
      <c r="AP8" s="21">
        <v>3107.9819900000002</v>
      </c>
      <c r="AQ8" s="21">
        <f>Q8</f>
        <v>3442.9668429999992</v>
      </c>
      <c r="AR8" s="21">
        <f>U8</f>
        <v>3835.1747870000386</v>
      </c>
      <c r="AS8" s="21">
        <f>Y8</f>
        <v>3100.4365188001498</v>
      </c>
      <c r="AT8" s="21">
        <f>AC8</f>
        <v>3897.8669100000061</v>
      </c>
      <c r="AU8" s="21">
        <f>AG8</f>
        <v>4008.6917899999994</v>
      </c>
      <c r="AV8" s="21">
        <f>AK8</f>
        <v>4328.8760610000008</v>
      </c>
    </row>
    <row r="9" spans="1:49" s="237" customFormat="1" x14ac:dyDescent="0.2">
      <c r="A9" s="9" t="s">
        <v>137</v>
      </c>
      <c r="B9" s="233"/>
      <c r="C9" s="233"/>
      <c r="D9" s="233"/>
      <c r="E9" s="233"/>
      <c r="F9" s="233"/>
      <c r="G9" s="233"/>
      <c r="H9" s="234"/>
      <c r="I9" s="234"/>
      <c r="J9" s="235"/>
      <c r="K9" s="233"/>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
      <c r="AM9" s="234"/>
      <c r="AN9" s="14">
        <v>7.1277266837465492E-2</v>
      </c>
      <c r="AO9" s="14">
        <v>-0.10165564601732702</v>
      </c>
      <c r="AP9" s="14">
        <v>8.105091893074956E-3</v>
      </c>
      <c r="AQ9" s="14">
        <f t="shared" ref="AQ9:AV9" si="3">AQ8/AP8-1</f>
        <v>0.10778210880173056</v>
      </c>
      <c r="AR9" s="14">
        <f t="shared" si="3"/>
        <v>0.11391569012563951</v>
      </c>
      <c r="AS9" s="14">
        <f t="shared" si="3"/>
        <v>-0.19157882208925814</v>
      </c>
      <c r="AT9" s="14">
        <f t="shared" si="3"/>
        <v>0.25719939317075813</v>
      </c>
      <c r="AU9" s="14">
        <f t="shared" si="3"/>
        <v>2.8432186772634926E-2</v>
      </c>
      <c r="AV9" s="14">
        <f t="shared" si="3"/>
        <v>7.9872508981290835E-2</v>
      </c>
    </row>
    <row r="10" spans="1:49" x14ac:dyDescent="0.2">
      <c r="A10" s="238" t="s">
        <v>135</v>
      </c>
      <c r="B10" s="21">
        <v>1230.6555600000004</v>
      </c>
      <c r="C10" s="21">
        <v>2510.6547500000001</v>
      </c>
      <c r="D10" s="21">
        <v>3774.6125580000007</v>
      </c>
      <c r="E10" s="21">
        <v>4985.0385300070011</v>
      </c>
      <c r="F10" s="21">
        <v>1292.9862900000001</v>
      </c>
      <c r="G10" s="21">
        <v>2581.7018779999999</v>
      </c>
      <c r="H10" s="21">
        <v>3862.5064210000014</v>
      </c>
      <c r="I10" s="21">
        <v>5190.4445660000001</v>
      </c>
      <c r="J10" s="23">
        <v>1274.4116029999998</v>
      </c>
      <c r="K10" s="21">
        <v>2730.1581419999998</v>
      </c>
      <c r="L10" s="21">
        <v>3985.0253049999978</v>
      </c>
      <c r="M10" s="21">
        <v>4764.0202758874921</v>
      </c>
      <c r="N10" s="21">
        <v>1158.6123711999999</v>
      </c>
      <c r="O10" s="21">
        <v>2248.2033348553841</v>
      </c>
      <c r="P10" s="21">
        <v>3667.8312356000001</v>
      </c>
      <c r="Q10" s="21">
        <v>4920.2</v>
      </c>
      <c r="R10" s="21">
        <v>1357.8339970000002</v>
      </c>
      <c r="S10" s="21">
        <v>2849</v>
      </c>
      <c r="T10" s="21">
        <v>4305</v>
      </c>
      <c r="U10" s="21">
        <v>5673</v>
      </c>
      <c r="V10" s="21">
        <v>1210.2133239999994</v>
      </c>
      <c r="W10" s="21">
        <v>2324.6211289999997</v>
      </c>
      <c r="X10" s="21">
        <v>3920</v>
      </c>
      <c r="Y10" s="21">
        <v>5649.6077669300867</v>
      </c>
      <c r="Z10" s="21">
        <v>1256.9051810000001</v>
      </c>
      <c r="AA10" s="21">
        <v>2491.7161339999998</v>
      </c>
      <c r="AB10" s="21">
        <v>3785.8495469999989</v>
      </c>
      <c r="AC10" s="21">
        <v>4989.1266299999988</v>
      </c>
      <c r="AD10" s="21">
        <v>1218.4584759999998</v>
      </c>
      <c r="AE10" s="21">
        <v>2580</v>
      </c>
      <c r="AF10" s="21">
        <v>4022.7692669999988</v>
      </c>
      <c r="AG10" s="21">
        <v>5163.0519239999994</v>
      </c>
      <c r="AH10" s="21">
        <v>1365.025054</v>
      </c>
      <c r="AI10" s="21">
        <v>2849.6752530000003</v>
      </c>
      <c r="AJ10" s="21">
        <v>4246.2453640000003</v>
      </c>
      <c r="AK10" s="21">
        <v>5496.817594000001</v>
      </c>
      <c r="AL10" s="23"/>
      <c r="AM10" s="21">
        <v>4599.069665</v>
      </c>
      <c r="AN10" s="21">
        <v>4985.0385300070011</v>
      </c>
      <c r="AO10" s="21">
        <v>5190.4445660000001</v>
      </c>
      <c r="AP10" s="21">
        <v>4764.0202758874921</v>
      </c>
      <c r="AQ10" s="21">
        <f>Q10</f>
        <v>4920.2</v>
      </c>
      <c r="AR10" s="21">
        <f>U10</f>
        <v>5673</v>
      </c>
      <c r="AS10" s="21">
        <f>Y10</f>
        <v>5649.6077669300867</v>
      </c>
      <c r="AT10" s="21">
        <f>AC10</f>
        <v>4989.1266299999988</v>
      </c>
      <c r="AU10" s="21">
        <f>AG10</f>
        <v>5163.0519239999994</v>
      </c>
      <c r="AV10" s="21">
        <f>AK10</f>
        <v>5496.817594000001</v>
      </c>
    </row>
    <row r="11" spans="1:49" s="237" customFormat="1" x14ac:dyDescent="0.2">
      <c r="A11" s="9" t="s">
        <v>137</v>
      </c>
      <c r="B11" s="233"/>
      <c r="C11" s="233"/>
      <c r="D11" s="233"/>
      <c r="E11" s="233"/>
      <c r="F11" s="233"/>
      <c r="G11" s="233"/>
      <c r="H11" s="234"/>
      <c r="I11" s="234"/>
      <c r="J11" s="235"/>
      <c r="K11" s="233"/>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5"/>
      <c r="AM11" s="234"/>
      <c r="AN11" s="14">
        <v>8.3923248204808676E-2</v>
      </c>
      <c r="AO11" s="14">
        <v>4.1204503186199171E-2</v>
      </c>
      <c r="AP11" s="14">
        <v>-8.2155639019015791E-2</v>
      </c>
      <c r="AQ11" s="14">
        <f t="shared" ref="AQ11:AV11" si="4">AQ10/AP10-1</f>
        <v>3.2783177876675396E-2</v>
      </c>
      <c r="AR11" s="14">
        <f t="shared" si="4"/>
        <v>0.15300191049144352</v>
      </c>
      <c r="AS11" s="14">
        <f t="shared" si="4"/>
        <v>-4.1234325876807754E-3</v>
      </c>
      <c r="AT11" s="14">
        <f t="shared" si="4"/>
        <v>-0.11690743219311728</v>
      </c>
      <c r="AU11" s="14">
        <f t="shared" si="4"/>
        <v>3.48608698272308E-2</v>
      </c>
      <c r="AV11" s="14">
        <f t="shared" si="4"/>
        <v>6.4645034547981428E-2</v>
      </c>
    </row>
    <row r="12" spans="1:49" s="237" customFormat="1" x14ac:dyDescent="0.2">
      <c r="A12" s="238" t="s">
        <v>293</v>
      </c>
      <c r="B12" s="233"/>
      <c r="C12" s="233"/>
      <c r="D12" s="233"/>
      <c r="E12" s="233"/>
      <c r="F12" s="233"/>
      <c r="G12" s="233"/>
      <c r="H12" s="234"/>
      <c r="I12" s="234"/>
      <c r="J12" s="235"/>
      <c r="K12" s="233"/>
      <c r="L12" s="234"/>
      <c r="M12" s="234"/>
      <c r="N12" s="234"/>
      <c r="O12" s="234"/>
      <c r="P12" s="234"/>
      <c r="Q12" s="234"/>
      <c r="R12" s="234"/>
      <c r="S12" s="234"/>
      <c r="T12" s="234"/>
      <c r="U12" s="234"/>
      <c r="V12" s="21">
        <v>329.66826600000002</v>
      </c>
      <c r="W12" s="21">
        <v>697.97086000000013</v>
      </c>
      <c r="X12" s="21">
        <v>949.8683769999999</v>
      </c>
      <c r="Y12" s="21">
        <v>1167.1851449999997</v>
      </c>
      <c r="Z12" s="21">
        <v>197</v>
      </c>
      <c r="AA12" s="21">
        <v>427.04798199999999</v>
      </c>
      <c r="AB12" s="21">
        <v>682</v>
      </c>
      <c r="AC12" s="21">
        <v>851.98425199999929</v>
      </c>
      <c r="AD12" s="21">
        <v>166.20392100000015</v>
      </c>
      <c r="AE12" s="21">
        <v>386.41818200000006</v>
      </c>
      <c r="AF12" s="21">
        <v>570</v>
      </c>
      <c r="AG12" s="21">
        <v>778.3</v>
      </c>
      <c r="AH12" s="21">
        <v>174.67409000000001</v>
      </c>
      <c r="AI12" s="21">
        <v>375.3</v>
      </c>
      <c r="AJ12" s="21">
        <v>660.4</v>
      </c>
      <c r="AK12" s="21">
        <v>878.9</v>
      </c>
      <c r="AL12" s="235"/>
      <c r="AM12" s="234"/>
      <c r="AN12" s="14"/>
      <c r="AO12" s="14"/>
      <c r="AP12" s="14"/>
      <c r="AQ12" s="14"/>
      <c r="AR12" s="14"/>
      <c r="AS12" s="21">
        <f>Y12</f>
        <v>1167.1851449999997</v>
      </c>
      <c r="AT12" s="21">
        <f>AC12</f>
        <v>851.98425199999929</v>
      </c>
      <c r="AU12" s="21">
        <f>AG12</f>
        <v>778.3</v>
      </c>
      <c r="AV12" s="21">
        <f>AK12</f>
        <v>878.9</v>
      </c>
    </row>
    <row r="13" spans="1:49" s="237" customFormat="1" x14ac:dyDescent="0.2">
      <c r="A13" s="9" t="s">
        <v>137</v>
      </c>
      <c r="B13" s="233"/>
      <c r="C13" s="233"/>
      <c r="D13" s="233"/>
      <c r="E13" s="233"/>
      <c r="F13" s="233"/>
      <c r="G13" s="233"/>
      <c r="H13" s="234"/>
      <c r="I13" s="234"/>
      <c r="J13" s="235"/>
      <c r="K13" s="233"/>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c r="AM13" s="234"/>
      <c r="AN13" s="14"/>
      <c r="AO13" s="14"/>
      <c r="AP13" s="14"/>
      <c r="AQ13" s="14"/>
      <c r="AR13" s="14"/>
      <c r="AS13" s="14"/>
      <c r="AT13" s="14">
        <f>AT12/AS12-1</f>
        <v>-0.27005218011063747</v>
      </c>
      <c r="AU13" s="14">
        <f>AU12/AT12-1</f>
        <v>-8.6485462409696456E-2</v>
      </c>
      <c r="AV13" s="14">
        <f>AV12/AU12-1</f>
        <v>0.12925607092380842</v>
      </c>
    </row>
    <row r="14" spans="1:49" x14ac:dyDescent="0.2">
      <c r="A14" s="18"/>
      <c r="B14" s="19"/>
      <c r="C14" s="19"/>
      <c r="D14" s="19"/>
      <c r="E14" s="19"/>
      <c r="F14" s="19"/>
      <c r="G14" s="19"/>
      <c r="H14" s="19"/>
      <c r="I14" s="19"/>
      <c r="J14" s="44"/>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44"/>
      <c r="AM14" s="19"/>
      <c r="AN14" s="19"/>
      <c r="AO14" s="19"/>
      <c r="AP14" s="19"/>
      <c r="AQ14" s="19"/>
      <c r="AR14" s="19"/>
      <c r="AS14" s="19"/>
      <c r="AT14" s="19"/>
      <c r="AU14" s="19"/>
      <c r="AV14" s="19"/>
    </row>
    <row r="15" spans="1:49" x14ac:dyDescent="0.2">
      <c r="A15" s="20" t="s">
        <v>231</v>
      </c>
      <c r="B15" s="3" t="s">
        <v>282</v>
      </c>
      <c r="C15" s="4" t="s">
        <v>283</v>
      </c>
      <c r="D15" s="4" t="s">
        <v>284</v>
      </c>
      <c r="E15" s="4" t="s">
        <v>22</v>
      </c>
      <c r="F15" s="3" t="s">
        <v>285</v>
      </c>
      <c r="G15" s="3" t="s">
        <v>286</v>
      </c>
      <c r="H15" s="4" t="s">
        <v>287</v>
      </c>
      <c r="I15" s="4" t="s">
        <v>288</v>
      </c>
      <c r="J15" s="5" t="s">
        <v>289</v>
      </c>
      <c r="K15" s="3" t="s">
        <v>290</v>
      </c>
      <c r="L15" s="3" t="s">
        <v>291</v>
      </c>
      <c r="M15" s="4" t="s">
        <v>292</v>
      </c>
      <c r="N15" s="4" t="s">
        <v>279</v>
      </c>
      <c r="O15" s="4" t="s">
        <v>280</v>
      </c>
      <c r="P15" s="4" t="s">
        <v>281</v>
      </c>
      <c r="Q15" s="4" t="s">
        <v>183</v>
      </c>
      <c r="R15" s="4" t="s">
        <v>187</v>
      </c>
      <c r="S15" s="4" t="s">
        <v>200</v>
      </c>
      <c r="T15" s="4" t="s">
        <v>203</v>
      </c>
      <c r="U15" s="4" t="s">
        <v>206</v>
      </c>
      <c r="V15" s="4" t="s">
        <v>278</v>
      </c>
      <c r="W15" s="4" t="s">
        <v>211</v>
      </c>
      <c r="X15" s="4" t="s">
        <v>213</v>
      </c>
      <c r="Y15" s="4" t="s">
        <v>215</v>
      </c>
      <c r="Z15" s="4" t="s">
        <v>272</v>
      </c>
      <c r="AA15" s="4" t="s">
        <v>227</v>
      </c>
      <c r="AB15" s="4" t="s">
        <v>237</v>
      </c>
      <c r="AC15" s="4" t="s">
        <v>239</v>
      </c>
      <c r="AD15" s="4" t="s">
        <v>273</v>
      </c>
      <c r="AE15" s="4" t="s">
        <v>274</v>
      </c>
      <c r="AF15" s="4" t="s">
        <v>248</v>
      </c>
      <c r="AG15" s="4" t="s">
        <v>255</v>
      </c>
      <c r="AH15" s="4" t="s">
        <v>275</v>
      </c>
      <c r="AI15" s="4" t="s">
        <v>276</v>
      </c>
      <c r="AJ15" s="4" t="s">
        <v>277</v>
      </c>
      <c r="AK15" s="4" t="s">
        <v>295</v>
      </c>
      <c r="AL15" s="6"/>
      <c r="AM15" s="4">
        <v>2005</v>
      </c>
      <c r="AN15" s="4">
        <v>2006</v>
      </c>
      <c r="AO15" s="4">
        <v>2007</v>
      </c>
      <c r="AP15" s="4">
        <v>2008</v>
      </c>
      <c r="AQ15" s="4">
        <v>2009</v>
      </c>
      <c r="AR15" s="4">
        <v>2010</v>
      </c>
      <c r="AS15" s="4">
        <v>2011</v>
      </c>
      <c r="AT15" s="4">
        <v>2012</v>
      </c>
      <c r="AU15" s="4">
        <v>2013</v>
      </c>
      <c r="AV15" s="4">
        <v>2014</v>
      </c>
    </row>
    <row r="16" spans="1:49" s="239" customFormat="1" x14ac:dyDescent="0.2">
      <c r="A16" s="216" t="s">
        <v>233</v>
      </c>
      <c r="B16" s="23">
        <v>434.78325975510427</v>
      </c>
      <c r="C16" s="23">
        <v>475.79329878397459</v>
      </c>
      <c r="D16" s="23">
        <v>522.32929362298842</v>
      </c>
      <c r="E16" s="23">
        <v>540.2174822600432</v>
      </c>
      <c r="F16" s="23">
        <v>558.44621444159782</v>
      </c>
      <c r="G16" s="23">
        <v>616.26604671448013</v>
      </c>
      <c r="H16" s="23">
        <v>634.27763976123788</v>
      </c>
      <c r="I16" s="23">
        <v>636.35282901866606</v>
      </c>
      <c r="J16" s="23">
        <v>698.70362164092523</v>
      </c>
      <c r="K16" s="23">
        <v>824.87002590348413</v>
      </c>
      <c r="L16" s="23">
        <v>931.1111412067155</v>
      </c>
      <c r="M16" s="23">
        <v>914.75646890846906</v>
      </c>
      <c r="N16" s="23">
        <v>462.6234573154756</v>
      </c>
      <c r="O16" s="23">
        <v>428.93031079552452</v>
      </c>
      <c r="P16" s="23">
        <v>430</v>
      </c>
      <c r="Q16" s="23">
        <v>456.4266217404782</v>
      </c>
      <c r="R16" s="23">
        <v>521.62274301161176</v>
      </c>
      <c r="S16" s="23">
        <v>580.70037735535004</v>
      </c>
      <c r="T16" s="23">
        <v>649.23151846977237</v>
      </c>
      <c r="U16" s="23">
        <v>613.99003272294351</v>
      </c>
      <c r="V16" s="23">
        <v>720.30453664677589</v>
      </c>
      <c r="W16" s="23">
        <v>765.53766521074999</v>
      </c>
      <c r="X16" s="23">
        <v>760.30082919093888</v>
      </c>
      <c r="Y16" s="23">
        <v>738.85268977246733</v>
      </c>
      <c r="Z16" s="23">
        <v>639.86643417827929</v>
      </c>
      <c r="AA16" s="23">
        <v>642.80833124187552</v>
      </c>
      <c r="AB16" s="23">
        <v>635.43878589888311</v>
      </c>
      <c r="AC16" s="23">
        <v>618.746488607022</v>
      </c>
      <c r="AD16" s="23">
        <v>583.79236702857588</v>
      </c>
      <c r="AE16" s="23">
        <v>594.67314886625547</v>
      </c>
      <c r="AF16" s="23">
        <v>580.05498915807846</v>
      </c>
      <c r="AG16" s="23">
        <v>577.69642304499882</v>
      </c>
      <c r="AH16" s="23">
        <v>560.73600676503429</v>
      </c>
      <c r="AI16" s="23">
        <v>588.76669627703779</v>
      </c>
      <c r="AJ16" s="23">
        <v>584.29011834069172</v>
      </c>
      <c r="AK16" s="23">
        <v>553.10864921178802</v>
      </c>
      <c r="AL16" s="23"/>
      <c r="AM16" s="23">
        <v>488.89084451523024</v>
      </c>
      <c r="AN16" s="23">
        <v>540.2174822600432</v>
      </c>
      <c r="AO16" s="23">
        <v>636.35282901866606</v>
      </c>
      <c r="AP16" s="23">
        <v>914.75646890846906</v>
      </c>
      <c r="AQ16" s="23">
        <f>Q16</f>
        <v>456.4266217404782</v>
      </c>
      <c r="AR16" s="23">
        <f>U16</f>
        <v>613.99003272294351</v>
      </c>
      <c r="AS16" s="23">
        <f>Y16</f>
        <v>738.85268977246733</v>
      </c>
      <c r="AT16" s="23">
        <f>AC16</f>
        <v>618.746488607022</v>
      </c>
      <c r="AU16" s="23">
        <f>AG16</f>
        <v>577.69642304499882</v>
      </c>
      <c r="AV16" s="23">
        <f>AK16</f>
        <v>553.10864921178802</v>
      </c>
    </row>
    <row r="17" spans="1:48" s="237" customFormat="1" x14ac:dyDescent="0.2">
      <c r="A17" s="9" t="s">
        <v>137</v>
      </c>
      <c r="B17" s="233"/>
      <c r="C17" s="233"/>
      <c r="D17" s="233"/>
      <c r="E17" s="233"/>
      <c r="F17" s="233"/>
      <c r="G17" s="233"/>
      <c r="H17" s="234"/>
      <c r="I17" s="234"/>
      <c r="J17" s="240"/>
      <c r="K17" s="233"/>
      <c r="L17" s="234"/>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0"/>
      <c r="AM17" s="234"/>
      <c r="AN17" s="14">
        <v>0.1049858845192877</v>
      </c>
      <c r="AO17" s="14">
        <v>0.17795674874576983</v>
      </c>
      <c r="AP17" s="14">
        <v>0.43749886414292449</v>
      </c>
      <c r="AQ17" s="242">
        <f t="shared" ref="AQ17:AV17" si="5">AQ16/AP16-1</f>
        <v>-0.50104029077257239</v>
      </c>
      <c r="AR17" s="242">
        <f t="shared" si="5"/>
        <v>0.34521082574376005</v>
      </c>
      <c r="AS17" s="242">
        <f t="shared" si="5"/>
        <v>0.2033626775597297</v>
      </c>
      <c r="AT17" s="242">
        <f t="shared" si="5"/>
        <v>-0.16255770984935103</v>
      </c>
      <c r="AU17" s="242">
        <f t="shared" si="5"/>
        <v>-6.6343916802564462E-2</v>
      </c>
      <c r="AV17" s="242">
        <f t="shared" si="5"/>
        <v>-4.2561755365578158E-2</v>
      </c>
    </row>
    <row r="18" spans="1:48" s="1" customFormat="1" x14ac:dyDescent="0.2">
      <c r="A18" s="238" t="s">
        <v>27</v>
      </c>
      <c r="B18" s="23">
        <v>191.35725921002611</v>
      </c>
      <c r="C18" s="23">
        <v>218.60650190037441</v>
      </c>
      <c r="D18" s="23">
        <v>242.28645973353812</v>
      </c>
      <c r="E18" s="23">
        <v>247.0831739533526</v>
      </c>
      <c r="F18" s="23">
        <v>283.23447119434007</v>
      </c>
      <c r="G18" s="23">
        <v>291.37807576332466</v>
      </c>
      <c r="H18" s="23">
        <v>300.01036549307526</v>
      </c>
      <c r="I18" s="23">
        <v>314.15885509800654</v>
      </c>
      <c r="J18" s="23">
        <v>404.82083788942032</v>
      </c>
      <c r="K18" s="23">
        <v>470.25526497233699</v>
      </c>
      <c r="L18" s="23">
        <v>559.47523889094634</v>
      </c>
      <c r="M18" s="23">
        <v>520.30415033048564</v>
      </c>
      <c r="N18" s="23">
        <v>214.31683362155974</v>
      </c>
      <c r="O18" s="23">
        <v>208.61884089328979</v>
      </c>
      <c r="P18" s="23">
        <v>237.92019577129764</v>
      </c>
      <c r="Q18" s="23">
        <v>239.07420938942914</v>
      </c>
      <c r="R18" s="23">
        <v>334.95588698526296</v>
      </c>
      <c r="S18" s="23">
        <v>395.68105077959598</v>
      </c>
      <c r="T18" s="23">
        <v>405.92437153538947</v>
      </c>
      <c r="U18" s="23">
        <v>397.79583838435201</v>
      </c>
      <c r="V18" s="23">
        <v>467.88642679072984</v>
      </c>
      <c r="W18" s="23">
        <v>482.10131942437971</v>
      </c>
      <c r="X18" s="23">
        <v>483.98860629940407</v>
      </c>
      <c r="Y18" s="23">
        <v>470.79995673961139</v>
      </c>
      <c r="Z18" s="23">
        <v>427.59669554638316</v>
      </c>
      <c r="AA18" s="23">
        <v>420.47277750375264</v>
      </c>
      <c r="AB18" s="23">
        <v>406.75674116544735</v>
      </c>
      <c r="AC18" s="23">
        <v>403.11526010655075</v>
      </c>
      <c r="AD18" s="23">
        <v>380.24837381498133</v>
      </c>
      <c r="AE18" s="23">
        <v>383.368495398525</v>
      </c>
      <c r="AF18" s="23">
        <v>382.06645847580376</v>
      </c>
      <c r="AG18" s="23">
        <v>385.51703847769102</v>
      </c>
      <c r="AH18" s="23">
        <v>360.54391844722835</v>
      </c>
      <c r="AI18" s="23">
        <v>369.25455019713633</v>
      </c>
      <c r="AJ18" s="23">
        <v>368.54736006682236</v>
      </c>
      <c r="AK18" s="23">
        <v>343.43535154165704</v>
      </c>
      <c r="AL18" s="23"/>
      <c r="AM18" s="23">
        <v>233.82124686899405</v>
      </c>
      <c r="AN18" s="23">
        <v>247.0831739533526</v>
      </c>
      <c r="AO18" s="23">
        <v>314.15885509800654</v>
      </c>
      <c r="AP18" s="23">
        <v>520.30415033048564</v>
      </c>
      <c r="AQ18" s="23">
        <f>Q18</f>
        <v>239.07420938942914</v>
      </c>
      <c r="AR18" s="23">
        <f>U18</f>
        <v>397.79583838435201</v>
      </c>
      <c r="AS18" s="23">
        <f>Y18</f>
        <v>470.79995673961139</v>
      </c>
      <c r="AT18" s="23">
        <f>AC18</f>
        <v>403.11526010655075</v>
      </c>
      <c r="AU18" s="23">
        <f>AG18</f>
        <v>385.51703847769102</v>
      </c>
      <c r="AV18" s="23">
        <f>AK18</f>
        <v>343.43535154165704</v>
      </c>
    </row>
    <row r="19" spans="1:48" s="237" customFormat="1" x14ac:dyDescent="0.2">
      <c r="A19" s="9" t="s">
        <v>137</v>
      </c>
      <c r="B19" s="234"/>
      <c r="C19" s="234"/>
      <c r="D19" s="234"/>
      <c r="E19" s="233"/>
      <c r="F19" s="233"/>
      <c r="G19" s="233"/>
      <c r="H19" s="234"/>
      <c r="I19" s="234"/>
      <c r="J19" s="240"/>
      <c r="K19" s="233"/>
      <c r="L19" s="234"/>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0"/>
      <c r="AM19" s="234"/>
      <c r="AN19" s="14">
        <v>5.6718229253943653E-2</v>
      </c>
      <c r="AO19" s="14">
        <v>0.27147004820861387</v>
      </c>
      <c r="AP19" s="14">
        <v>0.65618171153625138</v>
      </c>
      <c r="AQ19" s="242">
        <f t="shared" ref="AQ19:AV19" si="6">AQ18/AP18-1</f>
        <v>-0.54051066239318968</v>
      </c>
      <c r="AR19" s="242">
        <f t="shared" si="6"/>
        <v>0.66390109330605562</v>
      </c>
      <c r="AS19" s="242">
        <f t="shared" si="6"/>
        <v>0.18352157391028934</v>
      </c>
      <c r="AT19" s="242">
        <f t="shared" si="6"/>
        <v>-0.14376529917672765</v>
      </c>
      <c r="AU19" s="242">
        <f t="shared" si="6"/>
        <v>-4.3655558026278185E-2</v>
      </c>
      <c r="AV19" s="242">
        <f t="shared" si="6"/>
        <v>-0.10915649046849885</v>
      </c>
    </row>
    <row r="20" spans="1:48" s="1" customFormat="1" x14ac:dyDescent="0.2">
      <c r="A20" s="238" t="s">
        <v>28</v>
      </c>
      <c r="B20" s="23">
        <v>260.87332515873453</v>
      </c>
      <c r="C20" s="23">
        <v>305.56522243747042</v>
      </c>
      <c r="D20" s="23">
        <v>358.07324072042383</v>
      </c>
      <c r="E20" s="23">
        <v>376.46062866768108</v>
      </c>
      <c r="F20" s="23">
        <v>389.47563459839307</v>
      </c>
      <c r="G20" s="23">
        <v>433.46572861479547</v>
      </c>
      <c r="H20" s="23">
        <v>455.28150485954257</v>
      </c>
      <c r="I20" s="23">
        <v>466.38991250910203</v>
      </c>
      <c r="J20" s="23">
        <v>527.6387751085806</v>
      </c>
      <c r="K20" s="23">
        <v>671.94626416339065</v>
      </c>
      <c r="L20" s="23">
        <v>779.2643167355551</v>
      </c>
      <c r="M20" s="23">
        <v>757.20955169032879</v>
      </c>
      <c r="N20" s="23">
        <v>333.50421449576601</v>
      </c>
      <c r="O20" s="23">
        <v>309.52500058064163</v>
      </c>
      <c r="P20" s="23">
        <v>317.52950324931652</v>
      </c>
      <c r="Q20" s="23">
        <v>340.3915713181932</v>
      </c>
      <c r="R20" s="23">
        <v>387.03967474310161</v>
      </c>
      <c r="S20" s="23">
        <v>457.97285770254626</v>
      </c>
      <c r="T20" s="23">
        <v>494.97485576717503</v>
      </c>
      <c r="U20" s="23">
        <v>497.39988911943209</v>
      </c>
      <c r="V20" s="23">
        <v>564.62170695386715</v>
      </c>
      <c r="W20" s="23">
        <v>652.43039937973913</v>
      </c>
      <c r="X20" s="23">
        <v>646.40441788174689</v>
      </c>
      <c r="Y20" s="23">
        <v>627.14446477253739</v>
      </c>
      <c r="Z20" s="23">
        <v>528.65767290388192</v>
      </c>
      <c r="AA20" s="23">
        <v>534.45048604490194</v>
      </c>
      <c r="AB20" s="23">
        <v>524.89857352622437</v>
      </c>
      <c r="AC20" s="23">
        <v>508.1315678526729</v>
      </c>
      <c r="AD20" s="23">
        <v>488.88812883062195</v>
      </c>
      <c r="AE20" s="213">
        <v>506.2642508256875</v>
      </c>
      <c r="AF20" s="213">
        <v>490.10191578854062</v>
      </c>
      <c r="AG20" s="213">
        <v>491.11886056708414</v>
      </c>
      <c r="AH20" s="23">
        <v>505.92068108066201</v>
      </c>
      <c r="AI20" s="23">
        <v>528.61862133362411</v>
      </c>
      <c r="AJ20" s="23">
        <v>521.86018893833341</v>
      </c>
      <c r="AK20" s="23">
        <v>493.60145274542907</v>
      </c>
      <c r="AL20" s="23"/>
      <c r="AM20" s="23">
        <v>331.92547308686244</v>
      </c>
      <c r="AN20" s="23">
        <v>376.46062866768108</v>
      </c>
      <c r="AO20" s="23">
        <v>466.38991250910203</v>
      </c>
      <c r="AP20" s="23">
        <v>757.20955169032879</v>
      </c>
      <c r="AQ20" s="23">
        <f>Q20</f>
        <v>340.3915713181932</v>
      </c>
      <c r="AR20" s="23">
        <f>U20</f>
        <v>497.39988911943209</v>
      </c>
      <c r="AS20" s="23">
        <f>Y20</f>
        <v>627.14446477253739</v>
      </c>
      <c r="AT20" s="23">
        <f>AC20</f>
        <v>508.1315678526729</v>
      </c>
      <c r="AU20" s="23">
        <f>AG20</f>
        <v>491.11886056708414</v>
      </c>
      <c r="AV20" s="23">
        <f>AK20</f>
        <v>493.60145274542907</v>
      </c>
    </row>
    <row r="21" spans="1:48" s="237" customFormat="1" x14ac:dyDescent="0.2">
      <c r="A21" s="9" t="s">
        <v>137</v>
      </c>
      <c r="B21" s="234"/>
      <c r="C21" s="234"/>
      <c r="D21" s="234"/>
      <c r="E21" s="233"/>
      <c r="F21" s="233"/>
      <c r="G21" s="233"/>
      <c r="H21" s="234"/>
      <c r="I21" s="234"/>
      <c r="J21" s="240"/>
      <c r="K21" s="233"/>
      <c r="L21" s="234"/>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0"/>
      <c r="AM21" s="234"/>
      <c r="AN21" s="14">
        <v>0.13417215366644708</v>
      </c>
      <c r="AO21" s="14">
        <v>0.23888097982433543</v>
      </c>
      <c r="AP21" s="14">
        <v>0.6235547368867056</v>
      </c>
      <c r="AQ21" s="242">
        <f t="shared" ref="AQ21:AV21" si="7">AQ20/AP20-1</f>
        <v>-0.55046582473988526</v>
      </c>
      <c r="AR21" s="242">
        <f t="shared" si="7"/>
        <v>0.46125794828941213</v>
      </c>
      <c r="AS21" s="242">
        <f t="shared" si="7"/>
        <v>0.26084560630441156</v>
      </c>
      <c r="AT21" s="242">
        <f t="shared" si="7"/>
        <v>-0.18976950862992936</v>
      </c>
      <c r="AU21" s="242">
        <f t="shared" si="7"/>
        <v>-3.3480909988496177E-2</v>
      </c>
      <c r="AV21" s="242">
        <f t="shared" si="7"/>
        <v>5.0549721822499283E-3</v>
      </c>
    </row>
    <row r="22" spans="1:48" s="1" customFormat="1" x14ac:dyDescent="0.2">
      <c r="A22" s="238" t="s">
        <v>135</v>
      </c>
      <c r="B22" s="23">
        <v>609.13570213514458</v>
      </c>
      <c r="C22" s="23">
        <v>655.73812460304816</v>
      </c>
      <c r="D22" s="23">
        <v>701.23413705893029</v>
      </c>
      <c r="E22" s="23">
        <v>722.92058237071672</v>
      </c>
      <c r="F22" s="23">
        <v>749.87409761533343</v>
      </c>
      <c r="G22" s="23">
        <v>794.66519491632448</v>
      </c>
      <c r="H22" s="23">
        <v>810.01122396408834</v>
      </c>
      <c r="I22" s="23">
        <v>814.5944535085581</v>
      </c>
      <c r="J22" s="23">
        <v>863.37162874799571</v>
      </c>
      <c r="K22" s="23">
        <v>988.05094769064647</v>
      </c>
      <c r="L22" s="23">
        <v>1095.6180152984994</v>
      </c>
      <c r="M22" s="23">
        <v>1092.2304720453387</v>
      </c>
      <c r="N22" s="23">
        <v>546.9367301289642</v>
      </c>
      <c r="O22" s="23">
        <v>536.57280078861629</v>
      </c>
      <c r="P22" s="23">
        <v>540.72928873842568</v>
      </c>
      <c r="Q22" s="23">
        <v>579.68475568577128</v>
      </c>
      <c r="R22" s="23">
        <v>655.90205711334556</v>
      </c>
      <c r="S22" s="23">
        <v>703.43045761478697</v>
      </c>
      <c r="T22" s="23">
        <v>775.35295472822349</v>
      </c>
      <c r="U22" s="23">
        <v>739.86925317603334</v>
      </c>
      <c r="V22" s="23">
        <v>837.02716487044313</v>
      </c>
      <c r="W22" s="23">
        <v>897.8433561700466</v>
      </c>
      <c r="X22" s="23">
        <v>904.20924692465621</v>
      </c>
      <c r="Y22" s="23">
        <v>888.25620491508278</v>
      </c>
      <c r="Z22" s="23">
        <v>818.59865562964035</v>
      </c>
      <c r="AA22" s="23">
        <v>817.05112672338225</v>
      </c>
      <c r="AB22" s="23">
        <v>802.87043489068594</v>
      </c>
      <c r="AC22" s="23">
        <v>784.86008630686047</v>
      </c>
      <c r="AD22" s="23">
        <v>717.26813769164687</v>
      </c>
      <c r="AE22" s="23">
        <v>708.71971757921347</v>
      </c>
      <c r="AF22" s="23">
        <v>692.42355883603409</v>
      </c>
      <c r="AG22" s="23">
        <v>690.29222080952138</v>
      </c>
      <c r="AH22" s="23">
        <v>627.67106661763478</v>
      </c>
      <c r="AI22" s="23">
        <v>654.10496604753246</v>
      </c>
      <c r="AJ22" s="23">
        <v>659.83865754187104</v>
      </c>
      <c r="AK22" s="23">
        <v>634.01936817819148</v>
      </c>
      <c r="AL22" s="23"/>
      <c r="AM22" s="23">
        <v>620.33669040984955</v>
      </c>
      <c r="AN22" s="23">
        <v>722.92058237071672</v>
      </c>
      <c r="AO22" s="23">
        <v>814.5944535085581</v>
      </c>
      <c r="AP22" s="23">
        <v>1092.2304720453387</v>
      </c>
      <c r="AQ22" s="23">
        <f>Q22</f>
        <v>579.68475568577128</v>
      </c>
      <c r="AR22" s="23">
        <f>U22</f>
        <v>739.86925317603334</v>
      </c>
      <c r="AS22" s="23">
        <f>Y22</f>
        <v>888.25620491508278</v>
      </c>
      <c r="AT22" s="23">
        <f>AC22</f>
        <v>784.86008630686047</v>
      </c>
      <c r="AU22" s="23">
        <f>AG22</f>
        <v>690.29222080952138</v>
      </c>
      <c r="AV22" s="23">
        <f>AK22</f>
        <v>634.01936817819148</v>
      </c>
    </row>
    <row r="23" spans="1:48" s="237" customFormat="1" x14ac:dyDescent="0.2">
      <c r="A23" s="9" t="s">
        <v>137</v>
      </c>
      <c r="B23" s="233"/>
      <c r="C23" s="233"/>
      <c r="D23" s="233"/>
      <c r="E23" s="233"/>
      <c r="F23" s="233"/>
      <c r="G23" s="233"/>
      <c r="H23" s="234"/>
      <c r="I23" s="234"/>
      <c r="J23" s="235"/>
      <c r="K23" s="233"/>
      <c r="L23" s="234"/>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35"/>
      <c r="AM23" s="234"/>
      <c r="AN23" s="14">
        <v>0.16536808727707397</v>
      </c>
      <c r="AO23" s="14">
        <v>0.12681043170359008</v>
      </c>
      <c r="AP23" s="14">
        <v>0.34082728815666274</v>
      </c>
      <c r="AQ23" s="242">
        <f t="shared" ref="AQ23:AV23" si="8">AQ22/AP22-1</f>
        <v>-0.46926516836667376</v>
      </c>
      <c r="AR23" s="242">
        <f t="shared" si="8"/>
        <v>0.27633036045731907</v>
      </c>
      <c r="AS23" s="242">
        <f t="shared" si="8"/>
        <v>0.2005583433857665</v>
      </c>
      <c r="AT23" s="242">
        <f t="shared" si="8"/>
        <v>-0.11640348588176419</v>
      </c>
      <c r="AU23" s="242">
        <f t="shared" si="8"/>
        <v>-0.1204900938998259</v>
      </c>
      <c r="AV23" s="242">
        <f t="shared" si="8"/>
        <v>-8.1520334338024858E-2</v>
      </c>
    </row>
    <row r="24" spans="1:48" s="237" customFormat="1" x14ac:dyDescent="0.2">
      <c r="A24" s="204" t="s">
        <v>234</v>
      </c>
      <c r="B24" s="233"/>
      <c r="C24" s="233"/>
      <c r="D24" s="233"/>
      <c r="E24" s="233"/>
      <c r="F24" s="233"/>
      <c r="G24" s="233"/>
      <c r="H24" s="234"/>
      <c r="I24" s="234"/>
      <c r="J24" s="235"/>
      <c r="K24" s="233"/>
      <c r="L24" s="234"/>
      <c r="M24" s="241"/>
      <c r="N24" s="241"/>
      <c r="O24" s="241"/>
      <c r="P24" s="241"/>
      <c r="Q24" s="241"/>
      <c r="R24" s="241"/>
      <c r="S24" s="241"/>
      <c r="T24" s="241"/>
      <c r="U24" s="241"/>
      <c r="V24" s="241"/>
      <c r="W24" s="241"/>
      <c r="X24" s="23">
        <v>356.67391504912359</v>
      </c>
      <c r="Y24" s="23">
        <v>331.67209764217893</v>
      </c>
      <c r="Z24" s="23">
        <v>229.96753680522571</v>
      </c>
      <c r="AA24" s="23">
        <v>227.29546045553656</v>
      </c>
      <c r="AB24" s="23">
        <v>202.84014801692811</v>
      </c>
      <c r="AC24" s="23">
        <v>227.8515693950057</v>
      </c>
      <c r="AD24" s="23">
        <v>268.42410197240417</v>
      </c>
      <c r="AE24" s="23">
        <v>247.78620589124441</v>
      </c>
      <c r="AF24" s="23">
        <v>253.36569327343557</v>
      </c>
      <c r="AG24" s="23">
        <v>249.64666581009902</v>
      </c>
      <c r="AH24" s="23">
        <v>260.29137779140865</v>
      </c>
      <c r="AI24" s="23">
        <v>262.56327555187846</v>
      </c>
      <c r="AJ24" s="23">
        <v>260.93117203401681</v>
      </c>
      <c r="AK24" s="23">
        <v>259.83427506430235</v>
      </c>
      <c r="AL24" s="235"/>
      <c r="AM24" s="234"/>
      <c r="AN24" s="14"/>
      <c r="AO24" s="14"/>
      <c r="AP24" s="14"/>
      <c r="AQ24" s="242"/>
      <c r="AR24" s="242"/>
      <c r="AS24" s="23">
        <f>Y24</f>
        <v>331.67209764217893</v>
      </c>
      <c r="AT24" s="23">
        <f>AC24</f>
        <v>227.8515693950057</v>
      </c>
      <c r="AU24" s="23">
        <f>AG24</f>
        <v>249.64666581009902</v>
      </c>
      <c r="AV24" s="23">
        <f>AK24</f>
        <v>259.83427506430235</v>
      </c>
    </row>
    <row r="25" spans="1:48" s="237" customFormat="1" x14ac:dyDescent="0.2">
      <c r="A25" s="9" t="s">
        <v>137</v>
      </c>
      <c r="B25" s="233"/>
      <c r="C25" s="233"/>
      <c r="D25" s="233"/>
      <c r="E25" s="233"/>
      <c r="F25" s="233"/>
      <c r="G25" s="233"/>
      <c r="H25" s="234"/>
      <c r="I25" s="234"/>
      <c r="J25" s="235"/>
      <c r="K25" s="233"/>
      <c r="L25" s="234"/>
      <c r="M25" s="241"/>
      <c r="N25" s="241"/>
      <c r="O25" s="241"/>
      <c r="P25" s="241"/>
      <c r="Q25" s="241"/>
      <c r="R25" s="241"/>
      <c r="S25" s="241"/>
      <c r="T25" s="241"/>
      <c r="U25" s="241"/>
      <c r="V25" s="241"/>
      <c r="W25" s="241"/>
      <c r="X25" s="23"/>
      <c r="Y25" s="23"/>
      <c r="Z25" s="23"/>
      <c r="AA25" s="23"/>
      <c r="AB25" s="23"/>
      <c r="AC25" s="23"/>
      <c r="AD25" s="23"/>
      <c r="AE25" s="23"/>
      <c r="AF25" s="23"/>
      <c r="AG25" s="23"/>
      <c r="AH25" s="23"/>
      <c r="AI25" s="23"/>
      <c r="AJ25" s="23"/>
      <c r="AK25" s="23"/>
      <c r="AL25" s="235"/>
      <c r="AM25" s="234"/>
      <c r="AN25" s="14"/>
      <c r="AO25" s="14"/>
      <c r="AP25" s="14"/>
      <c r="AQ25" s="242"/>
      <c r="AR25" s="242"/>
      <c r="AS25" s="242"/>
      <c r="AT25" s="242">
        <f>AT24/AS24-1</f>
        <v>-0.3130215926670411</v>
      </c>
      <c r="AU25" s="242">
        <f>AU24/AT24-1</f>
        <v>9.565480050439823E-2</v>
      </c>
      <c r="AV25" s="242">
        <f>AV24/AU24-1</f>
        <v>4.0808112622472636E-2</v>
      </c>
    </row>
    <row r="26" spans="1:48" x14ac:dyDescent="0.2">
      <c r="A26" s="18"/>
      <c r="B26" s="27"/>
      <c r="C26" s="27"/>
      <c r="D26" s="27"/>
      <c r="E26" s="27"/>
      <c r="F26" s="27"/>
      <c r="G26" s="27"/>
      <c r="H26" s="28"/>
      <c r="I26" s="28"/>
      <c r="J26" s="26"/>
      <c r="K26" s="27"/>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26"/>
      <c r="AM26" s="19"/>
      <c r="AN26" s="19"/>
      <c r="AO26" s="19"/>
      <c r="AP26" s="19"/>
      <c r="AQ26" s="19"/>
      <c r="AR26" s="19"/>
      <c r="AS26" s="19"/>
      <c r="AT26" s="19"/>
      <c r="AU26" s="19"/>
      <c r="AV26" s="19"/>
    </row>
    <row r="27" spans="1:48" x14ac:dyDescent="0.2">
      <c r="A27" s="2" t="s">
        <v>1</v>
      </c>
      <c r="B27" s="3" t="s">
        <v>282</v>
      </c>
      <c r="C27" s="4" t="s">
        <v>283</v>
      </c>
      <c r="D27" s="4" t="s">
        <v>284</v>
      </c>
      <c r="E27" s="4" t="s">
        <v>294</v>
      </c>
      <c r="F27" s="3" t="s">
        <v>285</v>
      </c>
      <c r="G27" s="3" t="s">
        <v>286</v>
      </c>
      <c r="H27" s="4" t="s">
        <v>287</v>
      </c>
      <c r="I27" s="4" t="s">
        <v>288</v>
      </c>
      <c r="J27" s="5" t="s">
        <v>289</v>
      </c>
      <c r="K27" s="3" t="s">
        <v>290</v>
      </c>
      <c r="L27" s="3" t="s">
        <v>291</v>
      </c>
      <c r="M27" s="4" t="s">
        <v>292</v>
      </c>
      <c r="N27" s="4" t="s">
        <v>279</v>
      </c>
      <c r="O27" s="4" t="s">
        <v>280</v>
      </c>
      <c r="P27" s="4" t="s">
        <v>281</v>
      </c>
      <c r="Q27" s="4" t="s">
        <v>183</v>
      </c>
      <c r="R27" s="4" t="s">
        <v>187</v>
      </c>
      <c r="S27" s="4" t="s">
        <v>200</v>
      </c>
      <c r="T27" s="4" t="s">
        <v>203</v>
      </c>
      <c r="U27" s="4" t="s">
        <v>206</v>
      </c>
      <c r="V27" s="4" t="s">
        <v>278</v>
      </c>
      <c r="W27" s="4" t="s">
        <v>211</v>
      </c>
      <c r="X27" s="4" t="s">
        <v>213</v>
      </c>
      <c r="Y27" s="4" t="s">
        <v>215</v>
      </c>
      <c r="Z27" s="4" t="s">
        <v>272</v>
      </c>
      <c r="AA27" s="4" t="s">
        <v>227</v>
      </c>
      <c r="AB27" s="4" t="s">
        <v>237</v>
      </c>
      <c r="AC27" s="4" t="s">
        <v>239</v>
      </c>
      <c r="AD27" s="4" t="s">
        <v>273</v>
      </c>
      <c r="AE27" s="4" t="s">
        <v>274</v>
      </c>
      <c r="AF27" s="4" t="s">
        <v>248</v>
      </c>
      <c r="AG27" s="4" t="s">
        <v>255</v>
      </c>
      <c r="AH27" s="4" t="s">
        <v>275</v>
      </c>
      <c r="AI27" s="4" t="s">
        <v>276</v>
      </c>
      <c r="AJ27" s="4" t="s">
        <v>277</v>
      </c>
      <c r="AK27" s="4" t="s">
        <v>295</v>
      </c>
      <c r="AL27" s="6"/>
      <c r="AM27" s="4">
        <v>2005</v>
      </c>
      <c r="AN27" s="4">
        <v>2006</v>
      </c>
      <c r="AO27" s="4">
        <v>2007</v>
      </c>
      <c r="AP27" s="4">
        <v>2008</v>
      </c>
      <c r="AQ27" s="4">
        <v>2009</v>
      </c>
      <c r="AR27" s="4">
        <v>2010</v>
      </c>
      <c r="AS27" s="4">
        <v>2011</v>
      </c>
      <c r="AT27" s="4">
        <v>2012</v>
      </c>
      <c r="AU27" s="4">
        <v>2013</v>
      </c>
      <c r="AV27" s="4">
        <v>2014</v>
      </c>
    </row>
    <row r="28" spans="1:48" x14ac:dyDescent="0.2">
      <c r="A28" s="7" t="s">
        <v>26</v>
      </c>
      <c r="B28" s="21">
        <v>1048.643</v>
      </c>
      <c r="C28" s="21">
        <v>2395.7849999999999</v>
      </c>
      <c r="D28" s="21">
        <v>3991.3820000000001</v>
      </c>
      <c r="E28" s="21">
        <v>5586.7250000000004</v>
      </c>
      <c r="F28" s="21">
        <v>1598.702</v>
      </c>
      <c r="G28" s="21">
        <v>3728.3679999999999</v>
      </c>
      <c r="H28" s="21">
        <v>5049.2709999999997</v>
      </c>
      <c r="I28" s="21">
        <v>6946.05</v>
      </c>
      <c r="J28" s="23">
        <v>1779.491</v>
      </c>
      <c r="K28" s="21">
        <v>4698.0910000000003</v>
      </c>
      <c r="L28" s="21">
        <v>7807.1049999999996</v>
      </c>
      <c r="M28" s="21">
        <v>9642.94</v>
      </c>
      <c r="N28" s="21">
        <v>1136.296</v>
      </c>
      <c r="O28" s="21">
        <v>2215.098</v>
      </c>
      <c r="P28" s="21">
        <v>3707.7739999999999</v>
      </c>
      <c r="Q28" s="21">
        <v>5305.1869999999999</v>
      </c>
      <c r="R28" s="21">
        <v>1471.847</v>
      </c>
      <c r="S28" s="21">
        <v>3338.067</v>
      </c>
      <c r="T28" s="21">
        <v>5240.7060000000001</v>
      </c>
      <c r="U28" s="21">
        <v>7160.6229999999996</v>
      </c>
      <c r="V28" s="21">
        <v>1836.7729999999999</v>
      </c>
      <c r="W28" s="21">
        <v>4191.6760000000004</v>
      </c>
      <c r="X28" s="21">
        <v>6156.67462629287</v>
      </c>
      <c r="Y28" s="21">
        <v>8042.7169999999996</v>
      </c>
      <c r="Z28" s="21">
        <v>1794.65</v>
      </c>
      <c r="AA28" s="21">
        <v>3610.4119999999998</v>
      </c>
      <c r="AB28" s="21">
        <v>5446.5410000000002</v>
      </c>
      <c r="AC28" s="21">
        <v>7149.8019999999997</v>
      </c>
      <c r="AD28" s="21">
        <v>1659.0619999999999</v>
      </c>
      <c r="AE28" s="21">
        <v>3343.826</v>
      </c>
      <c r="AF28" s="21">
        <v>4873.2650000000003</v>
      </c>
      <c r="AG28" s="21">
        <v>6468.3710000000001</v>
      </c>
      <c r="AH28" s="21">
        <v>1742.414</v>
      </c>
      <c r="AI28" s="21">
        <v>3470.105</v>
      </c>
      <c r="AJ28" s="21">
        <v>5105.7389999999996</v>
      </c>
      <c r="AK28" s="21">
        <v>6587.7650000000003</v>
      </c>
      <c r="AL28" s="23"/>
      <c r="AM28" s="21">
        <v>4195.2359999999999</v>
      </c>
      <c r="AN28" s="21">
        <f>E28</f>
        <v>5586.7250000000004</v>
      </c>
      <c r="AO28" s="21">
        <f>I28</f>
        <v>6946.05</v>
      </c>
      <c r="AP28" s="21">
        <f>M28</f>
        <v>9642.94</v>
      </c>
      <c r="AQ28" s="21">
        <f>Q28</f>
        <v>5305.1869999999999</v>
      </c>
      <c r="AR28" s="21">
        <f>U28</f>
        <v>7160.6229999999996</v>
      </c>
      <c r="AS28" s="21">
        <f>Y28</f>
        <v>8042.7169999999996</v>
      </c>
      <c r="AT28" s="21">
        <f>AC28</f>
        <v>7149.8019999999997</v>
      </c>
      <c r="AU28" s="21">
        <f>AG28</f>
        <v>6468.3710000000001</v>
      </c>
      <c r="AV28" s="21">
        <f>AK28</f>
        <v>6587.7650000000003</v>
      </c>
    </row>
    <row r="29" spans="1:48" s="237" customFormat="1" x14ac:dyDescent="0.2">
      <c r="A29" s="9" t="s">
        <v>137</v>
      </c>
      <c r="B29" s="233"/>
      <c r="C29" s="233"/>
      <c r="D29" s="233"/>
      <c r="E29" s="233"/>
      <c r="F29" s="233"/>
      <c r="G29" s="233"/>
      <c r="H29" s="234"/>
      <c r="I29" s="234"/>
      <c r="J29" s="240"/>
      <c r="K29" s="233"/>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40"/>
      <c r="AM29" s="234"/>
      <c r="AN29" s="14">
        <v>0.33168312819588719</v>
      </c>
      <c r="AO29" s="14">
        <v>0.24331339022414733</v>
      </c>
      <c r="AP29" s="14">
        <v>0.38826239373456861</v>
      </c>
      <c r="AQ29" s="14">
        <f t="shared" ref="AQ29:AV29" si="9">AQ28/AP28-1</f>
        <v>-0.4498371865841746</v>
      </c>
      <c r="AR29" s="14">
        <f t="shared" si="9"/>
        <v>0.34973998089040026</v>
      </c>
      <c r="AS29" s="14">
        <f t="shared" si="9"/>
        <v>0.12318676740836665</v>
      </c>
      <c r="AT29" s="14">
        <f t="shared" si="9"/>
        <v>-0.11102156149470388</v>
      </c>
      <c r="AU29" s="14">
        <f t="shared" si="9"/>
        <v>-9.5307674254475838E-2</v>
      </c>
      <c r="AV29" s="14">
        <f t="shared" si="9"/>
        <v>1.8458124928208308E-2</v>
      </c>
    </row>
    <row r="30" spans="1:48" x14ac:dyDescent="0.2">
      <c r="A30" s="18" t="s">
        <v>138</v>
      </c>
      <c r="B30" s="23" t="s">
        <v>139</v>
      </c>
      <c r="C30" s="23" t="s">
        <v>139</v>
      </c>
      <c r="D30" s="23" t="s">
        <v>139</v>
      </c>
      <c r="E30" s="21">
        <v>224.05600000000001</v>
      </c>
      <c r="F30" s="23" t="s">
        <v>139</v>
      </c>
      <c r="G30" s="23" t="s">
        <v>139</v>
      </c>
      <c r="H30" s="23" t="s">
        <v>139</v>
      </c>
      <c r="I30" s="21">
        <v>265.33499999999998</v>
      </c>
      <c r="J30" s="23" t="s">
        <v>139</v>
      </c>
      <c r="K30" s="23" t="s">
        <v>139</v>
      </c>
      <c r="L30" s="23" t="s">
        <v>139</v>
      </c>
      <c r="M30" s="23">
        <v>285.17099999999999</v>
      </c>
      <c r="N30" s="23" t="s">
        <v>139</v>
      </c>
      <c r="O30" s="23" t="s">
        <v>139</v>
      </c>
      <c r="P30" s="23" t="s">
        <v>139</v>
      </c>
      <c r="Q30" s="23">
        <v>293.10599999999999</v>
      </c>
      <c r="R30" s="23" t="s">
        <v>139</v>
      </c>
      <c r="S30" s="23" t="s">
        <v>139</v>
      </c>
      <c r="T30" s="23" t="s">
        <v>139</v>
      </c>
      <c r="U30" s="23">
        <v>308.54599999999999</v>
      </c>
      <c r="V30" s="23" t="s">
        <v>139</v>
      </c>
      <c r="W30" s="23" t="s">
        <v>139</v>
      </c>
      <c r="X30" s="23" t="s">
        <v>139</v>
      </c>
      <c r="Y30" s="23">
        <v>332.53</v>
      </c>
      <c r="Z30" s="23" t="s">
        <v>139</v>
      </c>
      <c r="AA30" s="23" t="s">
        <v>139</v>
      </c>
      <c r="AB30" s="23" t="s">
        <v>139</v>
      </c>
      <c r="AC30" s="23">
        <v>416.89699999999999</v>
      </c>
      <c r="AD30" s="23" t="s">
        <v>139</v>
      </c>
      <c r="AE30" s="23" t="s">
        <v>139</v>
      </c>
      <c r="AF30" s="23" t="s">
        <v>139</v>
      </c>
      <c r="AG30" s="23">
        <v>538.83699999999999</v>
      </c>
      <c r="AH30" s="23" t="s">
        <v>139</v>
      </c>
      <c r="AI30" s="23" t="s">
        <v>139</v>
      </c>
      <c r="AJ30" s="23" t="s">
        <v>139</v>
      </c>
      <c r="AK30" s="23">
        <v>525.28099999999995</v>
      </c>
      <c r="AL30" s="23"/>
      <c r="AM30" s="21">
        <v>197.423</v>
      </c>
      <c r="AN30" s="21">
        <f>E30</f>
        <v>224.05600000000001</v>
      </c>
      <c r="AO30" s="21">
        <f>I30</f>
        <v>265.33499999999998</v>
      </c>
      <c r="AP30" s="23">
        <f>M30</f>
        <v>285.17099999999999</v>
      </c>
      <c r="AQ30" s="21">
        <f>Q30</f>
        <v>293.10599999999999</v>
      </c>
      <c r="AR30" s="21">
        <f>U30</f>
        <v>308.54599999999999</v>
      </c>
      <c r="AS30" s="21">
        <f>Y30</f>
        <v>332.53</v>
      </c>
      <c r="AT30" s="21">
        <f>AC30</f>
        <v>416.89699999999999</v>
      </c>
      <c r="AU30" s="21">
        <f>AG30</f>
        <v>538.83699999999999</v>
      </c>
      <c r="AV30" s="21">
        <f>AK30</f>
        <v>525.28099999999995</v>
      </c>
    </row>
    <row r="31" spans="1:48" s="237" customFormat="1" x14ac:dyDescent="0.2">
      <c r="A31" s="9" t="s">
        <v>137</v>
      </c>
      <c r="B31" s="233"/>
      <c r="C31" s="233"/>
      <c r="D31" s="233"/>
      <c r="E31" s="233"/>
      <c r="F31" s="233"/>
      <c r="G31" s="233"/>
      <c r="H31" s="233"/>
      <c r="I31" s="233"/>
      <c r="J31" s="235"/>
      <c r="K31" s="233"/>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M31" s="233"/>
      <c r="AN31" s="14">
        <v>0.13490322809399102</v>
      </c>
      <c r="AO31" s="14">
        <v>0.18423519120219933</v>
      </c>
      <c r="AP31" s="14">
        <v>7.4758324382384611E-2</v>
      </c>
      <c r="AQ31" s="14">
        <f t="shared" ref="AQ31:AV31" si="10">AQ30/AP30-1</f>
        <v>2.7825410017147556E-2</v>
      </c>
      <c r="AR31" s="14">
        <f t="shared" si="10"/>
        <v>5.26771884574182E-2</v>
      </c>
      <c r="AS31" s="14">
        <f t="shared" si="10"/>
        <v>7.7732331645848474E-2</v>
      </c>
      <c r="AT31" s="14">
        <f t="shared" si="10"/>
        <v>0.25371244699726359</v>
      </c>
      <c r="AU31" s="14">
        <f t="shared" si="10"/>
        <v>0.29249430914590424</v>
      </c>
      <c r="AV31" s="14">
        <f t="shared" si="10"/>
        <v>-2.5157886336684476E-2</v>
      </c>
    </row>
    <row r="32" spans="1:48" x14ac:dyDescent="0.2">
      <c r="A32" s="18" t="s">
        <v>3</v>
      </c>
      <c r="B32" s="29">
        <v>336.34800000000001</v>
      </c>
      <c r="C32" s="29">
        <v>833.85400000000004</v>
      </c>
      <c r="D32" s="29">
        <v>1496.895</v>
      </c>
      <c r="E32" s="297">
        <v>2108.4369999999999</v>
      </c>
      <c r="F32" s="297">
        <v>519.85799999999995</v>
      </c>
      <c r="G32" s="297">
        <v>1131.367</v>
      </c>
      <c r="H32" s="297">
        <v>1772.952</v>
      </c>
      <c r="I32" s="297">
        <v>2362.8200000000002</v>
      </c>
      <c r="J32" s="297">
        <v>529.19600000000003</v>
      </c>
      <c r="K32" s="297">
        <v>1605.598</v>
      </c>
      <c r="L32" s="297">
        <v>2790.7080000000001</v>
      </c>
      <c r="M32" s="297">
        <v>3227.0650000000001</v>
      </c>
      <c r="N32" s="297">
        <v>91.245999999999995</v>
      </c>
      <c r="O32" s="297">
        <v>164.99</v>
      </c>
      <c r="P32" s="297">
        <v>427.92099999999999</v>
      </c>
      <c r="Q32" s="297">
        <v>785.03200000000004</v>
      </c>
      <c r="R32" s="297">
        <v>208.41200000000001</v>
      </c>
      <c r="S32" s="297">
        <v>573.89400000000001</v>
      </c>
      <c r="T32" s="297">
        <v>884.36199999999997</v>
      </c>
      <c r="U32" s="297">
        <v>1083.585</v>
      </c>
      <c r="V32" s="297">
        <v>255.94200000000001</v>
      </c>
      <c r="W32" s="297">
        <v>657.70100000000002</v>
      </c>
      <c r="X32" s="297">
        <v>918.35244533257401</v>
      </c>
      <c r="Y32" s="297">
        <v>1075.2819999999999</v>
      </c>
      <c r="Z32" s="297">
        <v>78.203000000000003</v>
      </c>
      <c r="AA32" s="297">
        <v>314.791</v>
      </c>
      <c r="AB32" s="297">
        <v>466.87599999999998</v>
      </c>
      <c r="AC32" s="297">
        <v>551.072</v>
      </c>
      <c r="AD32" s="297">
        <v>-36.305</v>
      </c>
      <c r="AE32" s="297">
        <v>44.671999999999997</v>
      </c>
      <c r="AF32" s="297">
        <v>88.429000000000002</v>
      </c>
      <c r="AG32" s="297">
        <v>98.11</v>
      </c>
      <c r="AH32" s="297">
        <v>128.107</v>
      </c>
      <c r="AI32" s="297">
        <v>334.65699999999998</v>
      </c>
      <c r="AJ32" s="297">
        <v>647.07500000000005</v>
      </c>
      <c r="AK32" s="297">
        <v>1096.1030000000001</v>
      </c>
      <c r="AL32" s="30"/>
      <c r="AM32" s="21">
        <v>1523.5719999999999</v>
      </c>
      <c r="AN32" s="29">
        <f>E32</f>
        <v>2108.4369999999999</v>
      </c>
      <c r="AO32" s="29">
        <f>I32</f>
        <v>2362.8200000000002</v>
      </c>
      <c r="AP32" s="21">
        <f>M32</f>
        <v>3227.0650000000001</v>
      </c>
      <c r="AQ32" s="21">
        <f>Q32</f>
        <v>785.03200000000004</v>
      </c>
      <c r="AR32" s="21">
        <f>U32</f>
        <v>1083.585</v>
      </c>
      <c r="AS32" s="21">
        <f>Y32</f>
        <v>1075.2819999999999</v>
      </c>
      <c r="AT32" s="21">
        <f>AC32</f>
        <v>551.072</v>
      </c>
      <c r="AU32" s="21">
        <f>AG32</f>
        <v>98.11</v>
      </c>
      <c r="AV32" s="21">
        <f>AK32</f>
        <v>1096.1030000000001</v>
      </c>
    </row>
    <row r="33" spans="1:48" s="237" customFormat="1" x14ac:dyDescent="0.2">
      <c r="A33" s="9" t="s">
        <v>137</v>
      </c>
      <c r="B33" s="233"/>
      <c r="C33" s="233"/>
      <c r="D33" s="233"/>
      <c r="E33" s="233"/>
      <c r="F33" s="233"/>
      <c r="G33" s="233"/>
      <c r="H33" s="233"/>
      <c r="I33" s="233"/>
      <c r="J33" s="235"/>
      <c r="K33" s="233"/>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5"/>
      <c r="AM33" s="233"/>
      <c r="AN33" s="14">
        <v>0.38387749315424546</v>
      </c>
      <c r="AO33" s="14">
        <v>0.12065003602194424</v>
      </c>
      <c r="AP33" s="14">
        <v>0.36576844617871851</v>
      </c>
      <c r="AQ33" s="14">
        <f t="shared" ref="AQ33:AV33" si="11">AQ32/AP32-1</f>
        <v>-0.75673498984371246</v>
      </c>
      <c r="AR33" s="14">
        <f t="shared" si="11"/>
        <v>0.38030679004167989</v>
      </c>
      <c r="AS33" s="14">
        <f t="shared" si="11"/>
        <v>-7.662527628197191E-3</v>
      </c>
      <c r="AT33" s="14">
        <f t="shared" si="11"/>
        <v>-0.48750932313569828</v>
      </c>
      <c r="AU33" s="14">
        <f t="shared" si="11"/>
        <v>-0.82196518785204109</v>
      </c>
      <c r="AV33" s="14">
        <f t="shared" si="11"/>
        <v>10.172184282947713</v>
      </c>
    </row>
    <row r="34" spans="1:48" x14ac:dyDescent="0.2">
      <c r="A34" s="18" t="s">
        <v>2</v>
      </c>
      <c r="B34" s="29">
        <v>336.34800000000001</v>
      </c>
      <c r="C34" s="29">
        <v>833.85400000000004</v>
      </c>
      <c r="D34" s="29">
        <v>1496.895</v>
      </c>
      <c r="E34" s="297">
        <v>2332.4929999999999</v>
      </c>
      <c r="F34" s="297"/>
      <c r="G34" s="297"/>
      <c r="H34" s="297"/>
      <c r="I34" s="297">
        <v>2628.1550000000002</v>
      </c>
      <c r="J34" s="297"/>
      <c r="K34" s="297"/>
      <c r="L34" s="297"/>
      <c r="M34" s="297">
        <v>3512.2359999999999</v>
      </c>
      <c r="N34" s="297"/>
      <c r="O34" s="297"/>
      <c r="P34" s="297"/>
      <c r="Q34" s="297">
        <v>1078.1379999999999</v>
      </c>
      <c r="R34" s="297"/>
      <c r="S34" s="297"/>
      <c r="T34" s="297"/>
      <c r="U34" s="297">
        <v>1392.1310000000001</v>
      </c>
      <c r="V34" s="297">
        <v>1392.1310000000001</v>
      </c>
      <c r="W34" s="297">
        <v>1392.1310000000001</v>
      </c>
      <c r="X34" s="297">
        <v>1392.1310000000001</v>
      </c>
      <c r="Y34" s="297">
        <v>1407.8119999999999</v>
      </c>
      <c r="Z34" s="297">
        <v>166.58</v>
      </c>
      <c r="AA34" s="297">
        <v>484.73599999999999</v>
      </c>
      <c r="AB34" s="297">
        <v>771.16899999999998</v>
      </c>
      <c r="AC34" s="297">
        <v>967.96900000000005</v>
      </c>
      <c r="AD34" s="297">
        <v>83.441999999999993</v>
      </c>
      <c r="AE34" s="297">
        <v>297.37400000000002</v>
      </c>
      <c r="AF34" s="297">
        <v>484.21699999999998</v>
      </c>
      <c r="AG34" s="297">
        <v>636.947</v>
      </c>
      <c r="AH34" s="297">
        <v>262.45499999999998</v>
      </c>
      <c r="AI34" s="297">
        <v>614.98500000000001</v>
      </c>
      <c r="AJ34" s="297">
        <v>1070.0070000000001</v>
      </c>
      <c r="AK34" s="297">
        <v>1621.384</v>
      </c>
      <c r="AL34" s="30"/>
      <c r="AM34" s="29">
        <v>1720.9949999999999</v>
      </c>
      <c r="AN34" s="29">
        <f>E34</f>
        <v>2332.4929999999999</v>
      </c>
      <c r="AO34" s="29">
        <f>I34</f>
        <v>2628.1550000000002</v>
      </c>
      <c r="AP34" s="29">
        <f>M34</f>
        <v>3512.2359999999999</v>
      </c>
      <c r="AQ34" s="29">
        <f>Q34</f>
        <v>1078.1379999999999</v>
      </c>
      <c r="AR34" s="29">
        <f>U34</f>
        <v>1392.1310000000001</v>
      </c>
      <c r="AS34" s="29">
        <f>Y34</f>
        <v>1407.8119999999999</v>
      </c>
      <c r="AT34" s="29">
        <f>AC34</f>
        <v>967.96900000000005</v>
      </c>
      <c r="AU34" s="29">
        <f>AG34</f>
        <v>636.947</v>
      </c>
      <c r="AV34" s="29">
        <f>AK34</f>
        <v>1621.384</v>
      </c>
    </row>
    <row r="35" spans="1:48" s="237" customFormat="1" x14ac:dyDescent="0.2">
      <c r="A35" s="9" t="s">
        <v>137</v>
      </c>
      <c r="B35" s="233"/>
      <c r="C35" s="233"/>
      <c r="D35" s="233"/>
      <c r="E35" s="233"/>
      <c r="F35" s="233"/>
      <c r="G35" s="233"/>
      <c r="H35" s="233"/>
      <c r="I35" s="233"/>
      <c r="J35" s="235"/>
      <c r="K35" s="233"/>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5"/>
      <c r="AM35" s="233"/>
      <c r="AN35" s="335">
        <f t="shared" ref="AN35:AV35" si="12">AN34/AM34-1</f>
        <v>0.35531654653267442</v>
      </c>
      <c r="AO35" s="335">
        <f t="shared" si="12"/>
        <v>0.12675793667976731</v>
      </c>
      <c r="AP35" s="335">
        <f t="shared" si="12"/>
        <v>0.33638845501882475</v>
      </c>
      <c r="AQ35" s="335">
        <f t="shared" si="12"/>
        <v>-0.693033725524139</v>
      </c>
      <c r="AR35" s="335">
        <f t="shared" si="12"/>
        <v>0.29123637233823518</v>
      </c>
      <c r="AS35" s="335">
        <f t="shared" si="12"/>
        <v>1.1264026158457563E-2</v>
      </c>
      <c r="AT35" s="335">
        <f t="shared" si="12"/>
        <v>-0.31243021085201705</v>
      </c>
      <c r="AU35" s="335">
        <f t="shared" si="12"/>
        <v>-0.34197582773828505</v>
      </c>
      <c r="AV35" s="335">
        <f t="shared" si="12"/>
        <v>1.5455555956775053</v>
      </c>
    </row>
    <row r="36" spans="1:48" x14ac:dyDescent="0.2">
      <c r="A36" s="328" t="s">
        <v>267</v>
      </c>
      <c r="B36" s="29">
        <v>336.34800000000001</v>
      </c>
      <c r="C36" s="29">
        <v>833.85400000000004</v>
      </c>
      <c r="D36" s="29">
        <v>1496.895</v>
      </c>
      <c r="E36" s="297">
        <v>1934.2339999999999</v>
      </c>
      <c r="F36" s="297"/>
      <c r="G36" s="297"/>
      <c r="H36" s="297"/>
      <c r="I36" s="297">
        <v>1772.5429999999999</v>
      </c>
      <c r="J36" s="297"/>
      <c r="K36" s="297"/>
      <c r="L36" s="297"/>
      <c r="M36" s="297">
        <v>2820.4450000000002</v>
      </c>
      <c r="N36" s="297"/>
      <c r="O36" s="297"/>
      <c r="P36" s="297"/>
      <c r="Q36" s="297">
        <v>1239.6679999999999</v>
      </c>
      <c r="R36" s="297"/>
      <c r="S36" s="297"/>
      <c r="T36" s="297"/>
      <c r="U36" s="297">
        <v>1372.125</v>
      </c>
      <c r="V36" s="297"/>
      <c r="W36" s="297"/>
      <c r="X36" s="297"/>
      <c r="Y36" s="297">
        <v>1159.7639999999999</v>
      </c>
      <c r="Z36" s="297">
        <v>113.14</v>
      </c>
      <c r="AA36" s="297">
        <v>461.58100000000002</v>
      </c>
      <c r="AB36" s="297">
        <v>709.82600000000002</v>
      </c>
      <c r="AC36" s="297">
        <v>817.38900000000001</v>
      </c>
      <c r="AD36" s="297">
        <v>-38.801000000000002</v>
      </c>
      <c r="AE36" s="297">
        <v>213.87299999999999</v>
      </c>
      <c r="AF36" s="297">
        <v>471.45800000000003</v>
      </c>
      <c r="AG36" s="297">
        <v>160.47900000000001</v>
      </c>
      <c r="AH36" s="297">
        <v>101.17</v>
      </c>
      <c r="AI36" s="297">
        <v>570.52599999999995</v>
      </c>
      <c r="AJ36" s="297">
        <v>948.73199999999997</v>
      </c>
      <c r="AK36" s="297">
        <v>1384.3420000000001</v>
      </c>
      <c r="AL36" s="30"/>
      <c r="AM36" s="29">
        <v>1161.1790000000001</v>
      </c>
      <c r="AN36" s="29">
        <f>E36</f>
        <v>1934.2339999999999</v>
      </c>
      <c r="AO36" s="29">
        <f>I36</f>
        <v>1772.5429999999999</v>
      </c>
      <c r="AP36" s="29">
        <f>M36</f>
        <v>2820.4450000000002</v>
      </c>
      <c r="AQ36" s="29">
        <f>Q36</f>
        <v>1239.6679999999999</v>
      </c>
      <c r="AR36" s="29">
        <f>U36</f>
        <v>1372.125</v>
      </c>
      <c r="AS36" s="29">
        <f>Y36</f>
        <v>1159.7639999999999</v>
      </c>
      <c r="AT36" s="29">
        <f>AC36</f>
        <v>817.38900000000001</v>
      </c>
      <c r="AU36" s="29">
        <f>AG36</f>
        <v>160.47900000000001</v>
      </c>
      <c r="AV36" s="29">
        <f>AK36</f>
        <v>1384.3420000000001</v>
      </c>
    </row>
    <row r="37" spans="1:48" s="237" customFormat="1" x14ac:dyDescent="0.2">
      <c r="A37" s="9" t="s">
        <v>137</v>
      </c>
      <c r="B37" s="233"/>
      <c r="C37" s="233"/>
      <c r="D37" s="233"/>
      <c r="E37" s="233"/>
      <c r="F37" s="233"/>
      <c r="G37" s="233"/>
      <c r="H37" s="233"/>
      <c r="I37" s="233"/>
      <c r="J37" s="235"/>
      <c r="K37" s="233"/>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5"/>
      <c r="AM37" s="233"/>
      <c r="AN37" s="335">
        <f t="shared" ref="AN37:AV37" si="13">AN36/AM36-1</f>
        <v>0.66575006954138827</v>
      </c>
      <c r="AO37" s="335">
        <f t="shared" si="13"/>
        <v>-8.3594332433407748E-2</v>
      </c>
      <c r="AP37" s="335">
        <f t="shared" si="13"/>
        <v>0.59118565811943657</v>
      </c>
      <c r="AQ37" s="335">
        <f t="shared" si="13"/>
        <v>-0.56047077677458712</v>
      </c>
      <c r="AR37" s="335">
        <f t="shared" si="13"/>
        <v>0.1068487691865887</v>
      </c>
      <c r="AS37" s="335">
        <f t="shared" si="13"/>
        <v>-0.15476796939054394</v>
      </c>
      <c r="AT37" s="335">
        <f t="shared" si="13"/>
        <v>-0.29521092222210721</v>
      </c>
      <c r="AU37" s="335">
        <f t="shared" si="13"/>
        <v>-0.8036687550236179</v>
      </c>
      <c r="AV37" s="335">
        <f t="shared" si="13"/>
        <v>7.6263124770219157</v>
      </c>
    </row>
    <row r="38" spans="1:48" s="237" customFormat="1" x14ac:dyDescent="0.2">
      <c r="A38" s="328" t="s">
        <v>268</v>
      </c>
      <c r="B38" s="233"/>
      <c r="C38" s="233"/>
      <c r="D38" s="233"/>
      <c r="E38" s="233"/>
      <c r="F38" s="233"/>
      <c r="G38" s="233"/>
      <c r="H38" s="233"/>
      <c r="I38" s="233"/>
      <c r="J38" s="235"/>
      <c r="K38" s="233"/>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5"/>
      <c r="AM38" s="233"/>
      <c r="AN38" s="233"/>
      <c r="AO38" s="233"/>
      <c r="AP38" s="233"/>
      <c r="AQ38" s="233"/>
      <c r="AR38" s="233"/>
      <c r="AS38" s="233"/>
      <c r="AT38" s="233"/>
      <c r="AU38" s="233"/>
      <c r="AV38" s="233"/>
    </row>
    <row r="39" spans="1:48" s="237" customFormat="1" x14ac:dyDescent="0.2">
      <c r="A39" s="329" t="s">
        <v>3</v>
      </c>
      <c r="B39" s="233"/>
      <c r="C39" s="233"/>
      <c r="D39" s="233"/>
      <c r="E39" s="12">
        <f>E32/E60</f>
        <v>0.37564865245270174</v>
      </c>
      <c r="F39" s="12"/>
      <c r="G39" s="12"/>
      <c r="H39" s="12"/>
      <c r="I39" s="12">
        <f>I32/I60</f>
        <v>0.33897512395842933</v>
      </c>
      <c r="J39" s="12"/>
      <c r="K39" s="12"/>
      <c r="L39" s="12"/>
      <c r="M39" s="12">
        <f>M32/M60</f>
        <v>0.32644015932224824</v>
      </c>
      <c r="N39" s="12"/>
      <c r="O39" s="12"/>
      <c r="P39" s="12"/>
      <c r="Q39" s="12">
        <f>Q32/Q60</f>
        <v>0.14526605550084401</v>
      </c>
      <c r="R39" s="12"/>
      <c r="S39" s="12"/>
      <c r="T39" s="12"/>
      <c r="U39" s="12">
        <f>U32/U60</f>
        <v>0.14862631910084498</v>
      </c>
      <c r="V39" s="12"/>
      <c r="W39" s="12"/>
      <c r="X39" s="12"/>
      <c r="Y39" s="12">
        <f t="shared" ref="Y39:AI39" si="14">Y32/Y60</f>
        <v>0.11910885222968375</v>
      </c>
      <c r="Z39" s="12">
        <f t="shared" si="14"/>
        <v>3.5269917267705543E-2</v>
      </c>
      <c r="AA39" s="12">
        <f t="shared" si="14"/>
        <v>7.0026180485405654E-2</v>
      </c>
      <c r="AB39" s="12">
        <f t="shared" si="14"/>
        <v>7.0453717194291887E-2</v>
      </c>
      <c r="AC39" s="12">
        <f t="shared" si="14"/>
        <v>6.3516937846250301E-2</v>
      </c>
      <c r="AD39" s="12">
        <f t="shared" si="14"/>
        <v>-1.8105344629911396E-2</v>
      </c>
      <c r="AE39" s="12">
        <f t="shared" si="14"/>
        <v>1.100055234238234E-2</v>
      </c>
      <c r="AF39" s="12">
        <f t="shared" si="14"/>
        <v>1.4585921251629037E-2</v>
      </c>
      <c r="AG39" s="12">
        <f t="shared" si="14"/>
        <v>1.2474988988542999E-2</v>
      </c>
      <c r="AH39" s="12">
        <f t="shared" si="14"/>
        <v>6.2849214771162371E-2</v>
      </c>
      <c r="AI39" s="12">
        <f t="shared" si="14"/>
        <v>8.2888250201612501E-2</v>
      </c>
      <c r="AJ39" s="12">
        <f>AJ32/AJ60</f>
        <v>0.10702608487392236</v>
      </c>
      <c r="AK39" s="12">
        <f>AK32/AK60</f>
        <v>0.1392414695301982</v>
      </c>
      <c r="AL39" s="235"/>
      <c r="AM39" s="12">
        <f t="shared" ref="AM39:AU39" si="15">AM32/AM60</f>
        <v>0.36278650683701785</v>
      </c>
      <c r="AN39" s="12">
        <f t="shared" si="15"/>
        <v>0.37564865245270174</v>
      </c>
      <c r="AO39" s="12">
        <f t="shared" si="15"/>
        <v>0.33897512395842933</v>
      </c>
      <c r="AP39" s="12">
        <f t="shared" si="15"/>
        <v>0.32644015932224824</v>
      </c>
      <c r="AQ39" s="12">
        <f t="shared" si="15"/>
        <v>0.14526605550084401</v>
      </c>
      <c r="AR39" s="12">
        <f t="shared" si="15"/>
        <v>0.14862631910084498</v>
      </c>
      <c r="AS39" s="12">
        <f t="shared" si="15"/>
        <v>0.11910885222968375</v>
      </c>
      <c r="AT39" s="12">
        <f t="shared" si="15"/>
        <v>6.3516937846250301E-2</v>
      </c>
      <c r="AU39" s="12">
        <f t="shared" si="15"/>
        <v>1.2474988988542999E-2</v>
      </c>
      <c r="AV39" s="12">
        <f t="shared" ref="AV39" si="16">AV32/AV60</f>
        <v>0.1392414695301982</v>
      </c>
    </row>
    <row r="40" spans="1:48" s="237" customFormat="1" x14ac:dyDescent="0.2">
      <c r="A40" s="329" t="s">
        <v>2</v>
      </c>
      <c r="B40" s="233"/>
      <c r="C40" s="233"/>
      <c r="D40" s="233"/>
      <c r="E40" s="12">
        <f>E34/E60</f>
        <v>0.41556748070032906</v>
      </c>
      <c r="F40" s="12"/>
      <c r="G40" s="12"/>
      <c r="H40" s="12"/>
      <c r="I40" s="12">
        <f>I34/I60</f>
        <v>0.37704064080504046</v>
      </c>
      <c r="J40" s="12"/>
      <c r="K40" s="12"/>
      <c r="L40" s="12"/>
      <c r="M40" s="12">
        <f>M34/M60</f>
        <v>0.35528719731933994</v>
      </c>
      <c r="N40" s="12"/>
      <c r="O40" s="12"/>
      <c r="P40" s="12"/>
      <c r="Q40" s="12">
        <f>Q34/Q60</f>
        <v>0.19950378398023128</v>
      </c>
      <c r="R40" s="12"/>
      <c r="S40" s="12"/>
      <c r="T40" s="12"/>
      <c r="U40" s="12">
        <f>U34/U60</f>
        <v>0.19094700114543706</v>
      </c>
      <c r="V40" s="12"/>
      <c r="W40" s="12"/>
      <c r="X40" s="12"/>
      <c r="Y40" s="12">
        <f t="shared" ref="Y40:AI40" si="17">Y34/Y60</f>
        <v>0.15594315860878868</v>
      </c>
      <c r="Z40" s="12">
        <f t="shared" si="17"/>
        <v>7.5128355925660015E-2</v>
      </c>
      <c r="AA40" s="12">
        <f t="shared" si="17"/>
        <v>0.10783094378102802</v>
      </c>
      <c r="AB40" s="12">
        <f t="shared" si="17"/>
        <v>0.11637291836591489</v>
      </c>
      <c r="AC40" s="12">
        <f t="shared" si="17"/>
        <v>0.11156877288284846</v>
      </c>
      <c r="AD40" s="12">
        <f t="shared" si="17"/>
        <v>4.1612619931388699E-2</v>
      </c>
      <c r="AE40" s="12">
        <f t="shared" si="17"/>
        <v>7.3228829071087187E-2</v>
      </c>
      <c r="AF40" s="12">
        <f t="shared" si="17"/>
        <v>7.9869172225175644E-2</v>
      </c>
      <c r="AG40" s="12">
        <f t="shared" si="17"/>
        <v>8.0989774857664842E-2</v>
      </c>
      <c r="AH40" s="12">
        <f t="shared" si="17"/>
        <v>0.12876026027278306</v>
      </c>
      <c r="AI40" s="12">
        <f t="shared" si="17"/>
        <v>0.15232022802522782</v>
      </c>
      <c r="AJ40" s="12">
        <f>AJ34/AJ60</f>
        <v>0.17697895915881628</v>
      </c>
      <c r="AK40" s="12">
        <f>AK34/AK60</f>
        <v>0.20596959485810262</v>
      </c>
      <c r="AL40" s="235"/>
      <c r="AM40" s="12">
        <f t="shared" ref="AM40:AU40" si="18">AM34/AM60</f>
        <v>0.40979603480109472</v>
      </c>
      <c r="AN40" s="12">
        <f t="shared" si="18"/>
        <v>0.41556748070032906</v>
      </c>
      <c r="AO40" s="12">
        <f t="shared" si="18"/>
        <v>0.37704064080504046</v>
      </c>
      <c r="AP40" s="12">
        <f t="shared" si="18"/>
        <v>0.35528719731933994</v>
      </c>
      <c r="AQ40" s="12">
        <f t="shared" si="18"/>
        <v>0.19950378398023128</v>
      </c>
      <c r="AR40" s="12">
        <f t="shared" si="18"/>
        <v>0.19094700114543706</v>
      </c>
      <c r="AS40" s="12">
        <f t="shared" si="18"/>
        <v>0.15594315860878868</v>
      </c>
      <c r="AT40" s="12">
        <f t="shared" si="18"/>
        <v>0.11156877288284846</v>
      </c>
      <c r="AU40" s="12">
        <f t="shared" si="18"/>
        <v>8.0989774857664842E-2</v>
      </c>
      <c r="AV40" s="12">
        <f t="shared" ref="AV40" si="19">AV34/AV60</f>
        <v>0.20596959485810262</v>
      </c>
    </row>
    <row r="41" spans="1:48" s="237" customFormat="1" x14ac:dyDescent="0.2">
      <c r="A41" s="329" t="s">
        <v>267</v>
      </c>
      <c r="B41" s="233"/>
      <c r="C41" s="233"/>
      <c r="D41" s="233"/>
      <c r="E41" s="12">
        <f>E36/E60</f>
        <v>0.34461185969900887</v>
      </c>
      <c r="F41" s="12"/>
      <c r="G41" s="12"/>
      <c r="H41" s="12"/>
      <c r="I41" s="12">
        <f>I36/I60</f>
        <v>0.254292744748498</v>
      </c>
      <c r="J41" s="12"/>
      <c r="K41" s="12"/>
      <c r="L41" s="12"/>
      <c r="M41" s="12">
        <f>M36/M60</f>
        <v>0.28530770689764179</v>
      </c>
      <c r="N41" s="12"/>
      <c r="O41" s="12"/>
      <c r="P41" s="12"/>
      <c r="Q41" s="12">
        <f>Q36/Q60</f>
        <v>0.22939406354214892</v>
      </c>
      <c r="R41" s="12"/>
      <c r="S41" s="12"/>
      <c r="T41" s="12"/>
      <c r="U41" s="12">
        <f>U36/U60</f>
        <v>0.18820294494317188</v>
      </c>
      <c r="V41" s="12"/>
      <c r="W41" s="12"/>
      <c r="X41" s="12"/>
      <c r="Y41" s="12">
        <f t="shared" ref="Y41:AI41" si="20">Y36/Y60</f>
        <v>0.12846691277014488</v>
      </c>
      <c r="Z41" s="12">
        <f t="shared" si="20"/>
        <v>5.1026667003416813E-2</v>
      </c>
      <c r="AA41" s="12">
        <f t="shared" si="20"/>
        <v>0.1026800461723303</v>
      </c>
      <c r="AB41" s="12">
        <f t="shared" si="20"/>
        <v>0.10711597996289257</v>
      </c>
      <c r="AC41" s="12">
        <f t="shared" si="20"/>
        <v>9.4212818486892266E-2</v>
      </c>
      <c r="AD41" s="12">
        <f t="shared" si="20"/>
        <v>-1.935010265762821E-2</v>
      </c>
      <c r="AE41" s="12">
        <f t="shared" si="20"/>
        <v>5.2666572598548046E-2</v>
      </c>
      <c r="AF41" s="12">
        <f t="shared" si="20"/>
        <v>7.7764638992304819E-2</v>
      </c>
      <c r="AG41" s="12">
        <f t="shared" si="20"/>
        <v>2.0405399631968118E-2</v>
      </c>
      <c r="AH41" s="12">
        <f t="shared" si="20"/>
        <v>4.9633939272627554E-2</v>
      </c>
      <c r="AI41" s="12">
        <f t="shared" si="20"/>
        <v>0.14130856917538009</v>
      </c>
      <c r="AJ41" s="12">
        <f>AJ36/AJ60</f>
        <v>0.15692009667288351</v>
      </c>
      <c r="AK41" s="12">
        <f>AK36/AK60</f>
        <v>0.17585739151555432</v>
      </c>
      <c r="AL41" s="235"/>
      <c r="AM41" s="12">
        <f t="shared" ref="AM41:AU41" si="21">AM36/AM60</f>
        <v>0.27649502171377632</v>
      </c>
      <c r="AN41" s="12">
        <f t="shared" si="21"/>
        <v>0.34461185969900887</v>
      </c>
      <c r="AO41" s="12">
        <f t="shared" si="21"/>
        <v>0.254292744748498</v>
      </c>
      <c r="AP41" s="12">
        <f t="shared" si="21"/>
        <v>0.28530770689764179</v>
      </c>
      <c r="AQ41" s="12">
        <f t="shared" si="21"/>
        <v>0.22939406354214892</v>
      </c>
      <c r="AR41" s="12">
        <f t="shared" si="21"/>
        <v>0.18820294494317188</v>
      </c>
      <c r="AS41" s="12">
        <f t="shared" si="21"/>
        <v>0.12846691277014488</v>
      </c>
      <c r="AT41" s="12">
        <f t="shared" si="21"/>
        <v>9.4212818486892266E-2</v>
      </c>
      <c r="AU41" s="12">
        <f t="shared" si="21"/>
        <v>2.0405399631968118E-2</v>
      </c>
      <c r="AV41" s="12">
        <f t="shared" ref="AV41" si="22">AV36/AV60</f>
        <v>0.17585739151555432</v>
      </c>
    </row>
    <row r="42" spans="1:48" x14ac:dyDescent="0.2">
      <c r="A42" s="18"/>
      <c r="B42" s="27"/>
      <c r="C42" s="27"/>
      <c r="D42" s="27"/>
      <c r="E42" s="27"/>
      <c r="F42" s="27"/>
      <c r="G42" s="27"/>
      <c r="H42" s="28"/>
      <c r="I42" s="28"/>
      <c r="J42" s="26"/>
      <c r="K42" s="27"/>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26"/>
      <c r="AM42" s="19"/>
      <c r="AN42" s="19"/>
      <c r="AO42" s="19"/>
      <c r="AP42" s="19"/>
      <c r="AQ42" s="19"/>
      <c r="AR42" s="19"/>
      <c r="AS42" s="19"/>
      <c r="AT42" s="19"/>
      <c r="AU42" s="19"/>
      <c r="AV42" s="19"/>
    </row>
    <row r="43" spans="1:48" x14ac:dyDescent="0.2">
      <c r="A43" s="2" t="s">
        <v>132</v>
      </c>
      <c r="B43" s="3" t="s">
        <v>282</v>
      </c>
      <c r="C43" s="4" t="s">
        <v>283</v>
      </c>
      <c r="D43" s="4" t="s">
        <v>284</v>
      </c>
      <c r="E43" s="4" t="s">
        <v>22</v>
      </c>
      <c r="F43" s="3" t="s">
        <v>285</v>
      </c>
      <c r="G43" s="3" t="s">
        <v>286</v>
      </c>
      <c r="H43" s="4" t="s">
        <v>287</v>
      </c>
      <c r="I43" s="4" t="s">
        <v>288</v>
      </c>
      <c r="J43" s="5" t="s">
        <v>289</v>
      </c>
      <c r="K43" s="3" t="s">
        <v>290</v>
      </c>
      <c r="L43" s="3" t="s">
        <v>291</v>
      </c>
      <c r="M43" s="4" t="s">
        <v>292</v>
      </c>
      <c r="N43" s="4" t="s">
        <v>279</v>
      </c>
      <c r="O43" s="4" t="s">
        <v>280</v>
      </c>
      <c r="P43" s="4" t="s">
        <v>281</v>
      </c>
      <c r="Q43" s="4" t="s">
        <v>183</v>
      </c>
      <c r="R43" s="4" t="s">
        <v>187</v>
      </c>
      <c r="S43" s="4" t="s">
        <v>200</v>
      </c>
      <c r="T43" s="4" t="s">
        <v>203</v>
      </c>
      <c r="U43" s="4" t="s">
        <v>206</v>
      </c>
      <c r="V43" s="4" t="s">
        <v>278</v>
      </c>
      <c r="W43" s="4" t="s">
        <v>211</v>
      </c>
      <c r="X43" s="4" t="s">
        <v>213</v>
      </c>
      <c r="Y43" s="4" t="s">
        <v>215</v>
      </c>
      <c r="Z43" s="4" t="s">
        <v>272</v>
      </c>
      <c r="AA43" s="4" t="s">
        <v>227</v>
      </c>
      <c r="AB43" s="4" t="s">
        <v>237</v>
      </c>
      <c r="AC43" s="4" t="s">
        <v>239</v>
      </c>
      <c r="AD43" s="4" t="s">
        <v>273</v>
      </c>
      <c r="AE43" s="4" t="s">
        <v>274</v>
      </c>
      <c r="AF43" s="4" t="s">
        <v>248</v>
      </c>
      <c r="AG43" s="4" t="s">
        <v>255</v>
      </c>
      <c r="AH43" s="4" t="s">
        <v>275</v>
      </c>
      <c r="AI43" s="4" t="s">
        <v>276</v>
      </c>
      <c r="AJ43" s="4" t="s">
        <v>277</v>
      </c>
      <c r="AK43" s="4" t="s">
        <v>295</v>
      </c>
      <c r="AL43" s="6"/>
      <c r="AM43" s="4">
        <v>2005</v>
      </c>
      <c r="AN43" s="4">
        <v>2006</v>
      </c>
      <c r="AO43" s="4">
        <v>2007</v>
      </c>
      <c r="AP43" s="4">
        <v>2008</v>
      </c>
      <c r="AQ43" s="4">
        <v>2009</v>
      </c>
      <c r="AR43" s="4">
        <v>2010</v>
      </c>
      <c r="AS43" s="4">
        <v>2011</v>
      </c>
      <c r="AT43" s="4">
        <v>2012</v>
      </c>
      <c r="AU43" s="4">
        <v>2013</v>
      </c>
      <c r="AV43" s="4">
        <v>2014</v>
      </c>
    </row>
    <row r="44" spans="1:48" s="1" customFormat="1" ht="22.5" x14ac:dyDescent="0.2">
      <c r="A44" s="37" t="s">
        <v>52</v>
      </c>
      <c r="B44" s="23" t="s">
        <v>139</v>
      </c>
      <c r="C44" s="23" t="s">
        <v>139</v>
      </c>
      <c r="D44" s="23" t="s">
        <v>139</v>
      </c>
      <c r="E44" s="21">
        <v>476.65</v>
      </c>
      <c r="F44" s="23" t="s">
        <v>139</v>
      </c>
      <c r="G44" s="23" t="s">
        <v>139</v>
      </c>
      <c r="H44" s="23" t="s">
        <v>139</v>
      </c>
      <c r="I44" s="21">
        <v>794.16</v>
      </c>
      <c r="J44" s="23" t="s">
        <v>139</v>
      </c>
      <c r="K44" s="23" t="s">
        <v>139</v>
      </c>
      <c r="L44" s="23" t="s">
        <v>139</v>
      </c>
      <c r="M44" s="23">
        <v>1380.306</v>
      </c>
      <c r="N44" s="23" t="s">
        <v>139</v>
      </c>
      <c r="O44" s="23" t="s">
        <v>139</v>
      </c>
      <c r="P44" s="23" t="s">
        <v>139</v>
      </c>
      <c r="Q44" s="23">
        <v>857.85900000000004</v>
      </c>
      <c r="R44" s="23" t="s">
        <v>139</v>
      </c>
      <c r="S44" s="23" t="s">
        <v>139</v>
      </c>
      <c r="T44" s="23" t="s">
        <v>139</v>
      </c>
      <c r="U44" s="23">
        <v>1071.0360000000001</v>
      </c>
      <c r="V44" s="23" t="s">
        <v>139</v>
      </c>
      <c r="W44" s="23" t="s">
        <v>139</v>
      </c>
      <c r="X44" s="23" t="s">
        <v>139</v>
      </c>
      <c r="Y44" s="23">
        <v>1330.181</v>
      </c>
      <c r="Z44" s="23" t="s">
        <v>139</v>
      </c>
      <c r="AA44" s="23" t="s">
        <v>139</v>
      </c>
      <c r="AB44" s="23" t="s">
        <v>139</v>
      </c>
      <c r="AC44" s="23">
        <v>747.60799999999995</v>
      </c>
      <c r="AD44" s="23" t="s">
        <v>139</v>
      </c>
      <c r="AE44" s="23" t="s">
        <v>139</v>
      </c>
      <c r="AF44" s="23" t="s">
        <v>139</v>
      </c>
      <c r="AG44" s="23">
        <v>391.476</v>
      </c>
      <c r="AH44" s="23" t="s">
        <v>139</v>
      </c>
      <c r="AI44" s="23" t="s">
        <v>139</v>
      </c>
      <c r="AJ44" s="23" t="s">
        <v>139</v>
      </c>
      <c r="AK44" s="23">
        <v>291.89100000000002</v>
      </c>
      <c r="AL44" s="23"/>
      <c r="AM44" s="23">
        <v>499.96199999999999</v>
      </c>
      <c r="AN44" s="21">
        <v>476.65</v>
      </c>
      <c r="AO44" s="21">
        <v>794.16</v>
      </c>
      <c r="AP44" s="21">
        <v>1380.306</v>
      </c>
      <c r="AQ44" s="21">
        <f>Q44</f>
        <v>857.85900000000004</v>
      </c>
      <c r="AR44" s="21">
        <f>U44</f>
        <v>1071.0360000000001</v>
      </c>
      <c r="AS44" s="21">
        <f>Y44</f>
        <v>1330.181</v>
      </c>
      <c r="AT44" s="21">
        <f>AC44</f>
        <v>747.60799999999995</v>
      </c>
      <c r="AU44" s="21">
        <f>AG44</f>
        <v>391.476</v>
      </c>
      <c r="AV44" s="21">
        <f>AK44</f>
        <v>291.89100000000002</v>
      </c>
    </row>
    <row r="45" spans="1:48" s="43" customFormat="1" x14ac:dyDescent="0.2">
      <c r="A45" s="9" t="s">
        <v>137</v>
      </c>
      <c r="B45" s="243"/>
      <c r="C45" s="243"/>
      <c r="D45" s="243"/>
      <c r="E45" s="243"/>
      <c r="F45" s="243"/>
      <c r="G45" s="243"/>
      <c r="H45" s="244"/>
      <c r="I45" s="244"/>
      <c r="J45" s="235"/>
      <c r="K45" s="243"/>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35"/>
      <c r="AM45" s="244"/>
      <c r="AN45" s="14">
        <v>-4.6627543693320672E-2</v>
      </c>
      <c r="AO45" s="14">
        <v>0.66612818630022019</v>
      </c>
      <c r="AP45" s="14">
        <v>0.73807041402236329</v>
      </c>
      <c r="AQ45" s="14">
        <f t="shared" ref="AQ45:AV45" si="23">AQ44/AP44-1</f>
        <v>-0.37850085415842571</v>
      </c>
      <c r="AR45" s="14">
        <f t="shared" si="23"/>
        <v>0.24849887918643976</v>
      </c>
      <c r="AS45" s="14">
        <f t="shared" si="23"/>
        <v>0.24195731982865176</v>
      </c>
      <c r="AT45" s="14">
        <f t="shared" si="23"/>
        <v>-0.43796520924595983</v>
      </c>
      <c r="AU45" s="14">
        <f t="shared" si="23"/>
        <v>-0.47636194369241636</v>
      </c>
      <c r="AV45" s="14">
        <f t="shared" si="23"/>
        <v>-0.25438341047727053</v>
      </c>
    </row>
    <row r="46" spans="1:48" x14ac:dyDescent="0.2">
      <c r="A46" s="18"/>
      <c r="B46" s="19"/>
      <c r="C46" s="19"/>
      <c r="D46" s="19"/>
      <c r="E46" s="19"/>
      <c r="F46" s="19"/>
      <c r="G46" s="19"/>
      <c r="H46" s="27"/>
      <c r="I46" s="27"/>
      <c r="J46" s="44"/>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44"/>
      <c r="AM46" s="27"/>
      <c r="AN46" s="27"/>
      <c r="AO46" s="27"/>
      <c r="AP46" s="27"/>
      <c r="AQ46" s="27"/>
      <c r="AR46" s="27"/>
      <c r="AS46" s="27"/>
      <c r="AT46" s="27"/>
      <c r="AU46" s="27"/>
      <c r="AV46" s="27"/>
    </row>
    <row r="47" spans="1:48" x14ac:dyDescent="0.2">
      <c r="A47" s="2" t="s">
        <v>260</v>
      </c>
      <c r="B47" s="3" t="s">
        <v>282</v>
      </c>
      <c r="C47" s="4" t="s">
        <v>283</v>
      </c>
      <c r="D47" s="4" t="s">
        <v>284</v>
      </c>
      <c r="E47" s="4" t="s">
        <v>22</v>
      </c>
      <c r="F47" s="3" t="s">
        <v>285</v>
      </c>
      <c r="G47" s="3" t="s">
        <v>286</v>
      </c>
      <c r="H47" s="4" t="s">
        <v>287</v>
      </c>
      <c r="I47" s="4" t="s">
        <v>288</v>
      </c>
      <c r="J47" s="5" t="s">
        <v>289</v>
      </c>
      <c r="K47" s="3" t="s">
        <v>290</v>
      </c>
      <c r="L47" s="3" t="s">
        <v>291</v>
      </c>
      <c r="M47" s="4" t="s">
        <v>292</v>
      </c>
      <c r="N47" s="4" t="s">
        <v>279</v>
      </c>
      <c r="O47" s="4" t="s">
        <v>280</v>
      </c>
      <c r="P47" s="4" t="s">
        <v>281</v>
      </c>
      <c r="Q47" s="4" t="s">
        <v>183</v>
      </c>
      <c r="R47" s="4" t="s">
        <v>187</v>
      </c>
      <c r="S47" s="4" t="s">
        <v>200</v>
      </c>
      <c r="T47" s="4" t="s">
        <v>203</v>
      </c>
      <c r="U47" s="4" t="s">
        <v>206</v>
      </c>
      <c r="V47" s="4" t="s">
        <v>278</v>
      </c>
      <c r="W47" s="4" t="s">
        <v>211</v>
      </c>
      <c r="X47" s="4" t="s">
        <v>213</v>
      </c>
      <c r="Y47" s="4" t="s">
        <v>215</v>
      </c>
      <c r="Z47" s="4" t="s">
        <v>272</v>
      </c>
      <c r="AA47" s="4" t="s">
        <v>227</v>
      </c>
      <c r="AB47" s="4" t="s">
        <v>237</v>
      </c>
      <c r="AC47" s="4" t="s">
        <v>239</v>
      </c>
      <c r="AD47" s="4" t="s">
        <v>273</v>
      </c>
      <c r="AE47" s="4" t="s">
        <v>274</v>
      </c>
      <c r="AF47" s="4" t="s">
        <v>248</v>
      </c>
      <c r="AG47" s="4" t="s">
        <v>255</v>
      </c>
      <c r="AH47" s="4" t="s">
        <v>275</v>
      </c>
      <c r="AI47" s="4" t="s">
        <v>276</v>
      </c>
      <c r="AJ47" s="4" t="s">
        <v>277</v>
      </c>
      <c r="AK47" s="4" t="s">
        <v>295</v>
      </c>
      <c r="AL47" s="6"/>
      <c r="AM47" s="4">
        <v>2005</v>
      </c>
      <c r="AN47" s="4">
        <v>2006</v>
      </c>
      <c r="AO47" s="4">
        <v>2007</v>
      </c>
      <c r="AP47" s="4">
        <v>2008</v>
      </c>
      <c r="AQ47" s="4">
        <v>2009</v>
      </c>
      <c r="AR47" s="4">
        <v>2010</v>
      </c>
      <c r="AS47" s="4">
        <v>2011</v>
      </c>
      <c r="AT47" s="4">
        <v>2012</v>
      </c>
      <c r="AU47" s="4">
        <v>2013</v>
      </c>
      <c r="AV47" s="4">
        <v>2014</v>
      </c>
    </row>
    <row r="48" spans="1:48" x14ac:dyDescent="0.2">
      <c r="A48" s="18" t="s">
        <v>14</v>
      </c>
      <c r="B48" s="245">
        <v>0.32066920012889771</v>
      </c>
      <c r="C48" s="245">
        <v>0.34730559872182487</v>
      </c>
      <c r="D48" s="245">
        <v>0.37431405326535028</v>
      </c>
      <c r="E48" s="245">
        <v>0.37564865245270179</v>
      </c>
      <c r="F48" s="245">
        <v>0.32390000000000002</v>
      </c>
      <c r="G48" s="245">
        <v>0.34386821384521771</v>
      </c>
      <c r="H48" s="245">
        <v>0.34984558427866219</v>
      </c>
      <c r="I48" s="245">
        <v>0.33897512395842927</v>
      </c>
      <c r="J48" s="242">
        <v>0.28382151503482367</v>
      </c>
      <c r="K48" s="242">
        <v>0.33101632611828447</v>
      </c>
      <c r="L48" s="242">
        <v>0.34782636874524747</v>
      </c>
      <c r="M48" s="242">
        <v>0.32644015932224824</v>
      </c>
      <c r="N48" s="242">
        <f>N32/(N28+18.233)</f>
        <v>7.9033094881116012E-2</v>
      </c>
      <c r="O48" s="242">
        <f>O32/(O28+42.316)</f>
        <v>7.3088055624710407E-2</v>
      </c>
      <c r="P48" s="242">
        <f>P32/(P28+74.763)</f>
        <v>0.11313068451147999</v>
      </c>
      <c r="Q48" s="242">
        <f>Q32/(Q28+98.911)</f>
        <v>0.14526605550084401</v>
      </c>
      <c r="R48" s="242">
        <f>R32/(R28+21.062)</f>
        <v>0.13960127509446324</v>
      </c>
      <c r="S48" s="242">
        <f>S32/(S28+53.407)</f>
        <v>0.16921668867283074</v>
      </c>
      <c r="T48" s="242">
        <f>T32/(T28+84.618)</f>
        <v>0.16606726651749262</v>
      </c>
      <c r="U48" s="242">
        <f>U32/(U28+130.44)</f>
        <v>0.14861824674947949</v>
      </c>
      <c r="V48" s="242">
        <f>V32/(V28+106.353)</f>
        <v>0.13171662568459278</v>
      </c>
      <c r="W48" s="242">
        <f>W32/(W28+293.402)</f>
        <v>0.14664204279167498</v>
      </c>
      <c r="X48" s="242">
        <f>X32/(X28+653.909)</f>
        <v>0.13484196006157123</v>
      </c>
      <c r="Y48" s="242">
        <f>Y32/(Y28+985.008)</f>
        <v>0.11910885632869853</v>
      </c>
      <c r="Z48" s="242">
        <f>Z32/(Z28+422.622)</f>
        <v>3.5269917267705543E-2</v>
      </c>
      <c r="AA48" s="242">
        <f>AA32/(AA28+884.921)</f>
        <v>7.0026180485405654E-2</v>
      </c>
      <c r="AB48" s="242">
        <f>AB32/(AB28+1180.164)</f>
        <v>7.0453717194291887E-2</v>
      </c>
      <c r="AC48" s="242">
        <f>AC32/(AC28+1526.183)</f>
        <v>6.3516937846250301E-2</v>
      </c>
      <c r="AD48" s="242">
        <f>AD32/(AD28+346.147)</f>
        <v>-1.8105344629911396E-2</v>
      </c>
      <c r="AE48" s="242">
        <f>AE32/(AE28+717.061)</f>
        <v>1.100055234238234E-2</v>
      </c>
      <c r="AF48" s="242">
        <f>AF32/(AF28+1189.362)</f>
        <v>1.4585921251629037E-2</v>
      </c>
      <c r="AG48" s="242">
        <f>AG32/(AG28+1396.165)</f>
        <v>1.2474988988542999E-2</v>
      </c>
      <c r="AH48" s="242">
        <f>AH32/(AH28+346.147)</f>
        <v>6.1337447170563844E-2</v>
      </c>
      <c r="AI48" s="242">
        <f>AI32/(AI28+346.147)</f>
        <v>8.7692584242340388E-2</v>
      </c>
      <c r="AJ48" s="242">
        <f>AJ32/(AJ28+346.147)</f>
        <v>0.11868828511821415</v>
      </c>
      <c r="AK48" s="242">
        <f>AK32/(AK28+346.147)</f>
        <v>0.15807858536422154</v>
      </c>
      <c r="AL48" s="242"/>
      <c r="AM48" s="245">
        <v>0.36278650683701785</v>
      </c>
      <c r="AN48" s="245">
        <v>0.37564865245270179</v>
      </c>
      <c r="AO48" s="245">
        <v>0.33897512395842927</v>
      </c>
      <c r="AP48" s="245">
        <v>0.32644015932224824</v>
      </c>
      <c r="AQ48" s="245">
        <f>Q48</f>
        <v>0.14526605550084401</v>
      </c>
      <c r="AR48" s="245">
        <f>U48</f>
        <v>0.14861824674947949</v>
      </c>
      <c r="AS48" s="245">
        <f>Y48</f>
        <v>0.11910885632869853</v>
      </c>
      <c r="AT48" s="245">
        <f>AC48</f>
        <v>6.3516937846250301E-2</v>
      </c>
      <c r="AU48" s="245">
        <f>AG48</f>
        <v>1.2474988988542999E-2</v>
      </c>
      <c r="AV48" s="245">
        <f>AK48</f>
        <v>0.15807858536422154</v>
      </c>
    </row>
    <row r="49" spans="1:48" x14ac:dyDescent="0.2">
      <c r="A49" s="18" t="s">
        <v>140</v>
      </c>
      <c r="B49" s="23">
        <v>159.4</v>
      </c>
      <c r="C49" s="21">
        <v>163.4</v>
      </c>
      <c r="D49" s="21">
        <v>167.2</v>
      </c>
      <c r="E49" s="21">
        <v>169.2</v>
      </c>
      <c r="F49" s="21">
        <v>196.5</v>
      </c>
      <c r="G49" s="21">
        <v>203</v>
      </c>
      <c r="H49" s="21">
        <v>213</v>
      </c>
      <c r="I49" s="21">
        <v>221</v>
      </c>
      <c r="J49" s="23">
        <v>282</v>
      </c>
      <c r="K49" s="21">
        <v>309</v>
      </c>
      <c r="L49" s="21">
        <v>329</v>
      </c>
      <c r="M49" s="21">
        <v>347</v>
      </c>
      <c r="N49" s="21">
        <v>243</v>
      </c>
      <c r="O49" s="21">
        <v>220</v>
      </c>
      <c r="P49" s="21">
        <v>213</v>
      </c>
      <c r="Q49" s="21">
        <v>240</v>
      </c>
      <c r="R49" s="21">
        <v>286</v>
      </c>
      <c r="S49" s="21">
        <v>325</v>
      </c>
      <c r="T49" s="21">
        <v>330</v>
      </c>
      <c r="U49" s="21">
        <v>318</v>
      </c>
      <c r="V49" s="21">
        <v>361</v>
      </c>
      <c r="W49" s="21">
        <v>406</v>
      </c>
      <c r="X49" s="21">
        <v>405</v>
      </c>
      <c r="Y49" s="21">
        <v>405</v>
      </c>
      <c r="Z49" s="21">
        <v>395</v>
      </c>
      <c r="AA49" s="21">
        <v>403.1</v>
      </c>
      <c r="AB49" s="23">
        <v>396</v>
      </c>
      <c r="AC49" s="23">
        <v>388</v>
      </c>
      <c r="AD49" s="23">
        <v>364</v>
      </c>
      <c r="AE49" s="23">
        <v>356</v>
      </c>
      <c r="AF49" s="23">
        <v>347</v>
      </c>
      <c r="AG49" s="23">
        <v>348</v>
      </c>
      <c r="AH49" s="23">
        <v>309.60000000000002</v>
      </c>
      <c r="AI49" s="23">
        <v>308.9898604218435</v>
      </c>
      <c r="AJ49" s="23">
        <v>304.18261876353665</v>
      </c>
      <c r="AK49" s="23">
        <v>282.79725343462906</v>
      </c>
      <c r="AL49" s="23"/>
      <c r="AM49" s="21">
        <v>173</v>
      </c>
      <c r="AN49" s="21">
        <v>169.2</v>
      </c>
      <c r="AO49" s="21">
        <v>221</v>
      </c>
      <c r="AP49" s="21">
        <v>347</v>
      </c>
      <c r="AQ49" s="21">
        <f>Q49</f>
        <v>240</v>
      </c>
      <c r="AR49" s="21">
        <f>U49</f>
        <v>318</v>
      </c>
      <c r="AS49" s="21">
        <f>Y49</f>
        <v>405</v>
      </c>
      <c r="AT49" s="21">
        <f>AC49</f>
        <v>388</v>
      </c>
      <c r="AU49" s="21">
        <f>AG49</f>
        <v>348</v>
      </c>
      <c r="AV49" s="21">
        <f>AK49</f>
        <v>282.79725343462906</v>
      </c>
    </row>
    <row r="50" spans="1:48" x14ac:dyDescent="0.2">
      <c r="A50" s="18" t="s">
        <v>154</v>
      </c>
      <c r="B50" s="21">
        <v>146.30341614179122</v>
      </c>
      <c r="C50" s="21">
        <v>177.21202964955023</v>
      </c>
      <c r="D50" s="21">
        <v>213.84685671395485</v>
      </c>
      <c r="E50" s="21">
        <v>227.63536767228024</v>
      </c>
      <c r="F50" s="21">
        <v>217.69320039125628</v>
      </c>
      <c r="G50" s="21">
        <v>253.30322741067468</v>
      </c>
      <c r="H50" s="21">
        <v>265.96172566352317</v>
      </c>
      <c r="I50" s="21">
        <v>258.89338144602516</v>
      </c>
      <c r="J50" s="23">
        <v>248.47663199275681</v>
      </c>
      <c r="K50" s="21">
        <v>343.52152698387897</v>
      </c>
      <c r="L50" s="21">
        <v>405.40037982203842</v>
      </c>
      <c r="M50" s="21">
        <v>380.17665269492977</v>
      </c>
      <c r="N50" s="21">
        <f t="shared" ref="N50:AG50" si="24">N32/N4*1000</f>
        <v>48.191623376325992</v>
      </c>
      <c r="O50" s="21">
        <f t="shared" si="24"/>
        <v>43.185113535223536</v>
      </c>
      <c r="P50" s="21">
        <f t="shared" si="24"/>
        <v>65.594227335693816</v>
      </c>
      <c r="Q50" s="21">
        <f t="shared" si="24"/>
        <v>87.984334985810975</v>
      </c>
      <c r="R50" s="21">
        <f t="shared" si="24"/>
        <v>84.706365731913564</v>
      </c>
      <c r="S50" s="21">
        <f t="shared" si="24"/>
        <v>114.45831671320303</v>
      </c>
      <c r="T50" s="21">
        <f t="shared" si="24"/>
        <v>117.39646038121639</v>
      </c>
      <c r="U50" s="21">
        <f t="shared" si="24"/>
        <v>107.38132989792885</v>
      </c>
      <c r="V50" s="21">
        <f t="shared" si="24"/>
        <v>123.66956453332364</v>
      </c>
      <c r="W50" s="21">
        <f t="shared" si="24"/>
        <v>147.34104189965413</v>
      </c>
      <c r="X50" s="21">
        <f t="shared" si="24"/>
        <v>134.14438289987933</v>
      </c>
      <c r="Y50" s="21">
        <f t="shared" si="24"/>
        <v>110.7164535201338</v>
      </c>
      <c r="Z50" s="21">
        <f t="shared" si="24"/>
        <v>33.238826987391263</v>
      </c>
      <c r="AA50" s="21">
        <f t="shared" si="24"/>
        <v>68.860534766190796</v>
      </c>
      <c r="AB50" s="21">
        <f t="shared" si="24"/>
        <v>66.354085178131911</v>
      </c>
      <c r="AC50" s="21">
        <f t="shared" si="24"/>
        <v>57.997748121490893</v>
      </c>
      <c r="AD50" s="21">
        <f t="shared" si="24"/>
        <v>-15.309146813231727</v>
      </c>
      <c r="AE50" s="21">
        <f t="shared" si="24"/>
        <v>9.4284508231321222</v>
      </c>
      <c r="AF50" s="21">
        <f t="shared" si="24"/>
        <v>12.728607162519308</v>
      </c>
      <c r="AG50" s="21">
        <f t="shared" si="24"/>
        <v>10.503552867493356</v>
      </c>
      <c r="AH50" s="21">
        <f>AH32/AH4*1000</f>
        <v>48.064859284733863</v>
      </c>
      <c r="AI50" s="21">
        <f>AI32/AI4*1000</f>
        <v>65.302274969284781</v>
      </c>
      <c r="AJ50" s="21">
        <f>AJ32/AJ4*1000</f>
        <v>86.554903810026886</v>
      </c>
      <c r="AK50" s="21">
        <f>AK32/AK4*1000</f>
        <v>108.63578705028762</v>
      </c>
      <c r="AL50" s="23"/>
      <c r="AM50" s="21">
        <v>185.7730434240014</v>
      </c>
      <c r="AN50" s="21">
        <v>227.63536767228024</v>
      </c>
      <c r="AO50" s="21">
        <v>258.89338144602516</v>
      </c>
      <c r="AP50" s="21">
        <v>380.17665269492977</v>
      </c>
      <c r="AQ50" s="21">
        <f>Q50</f>
        <v>87.984334985810975</v>
      </c>
      <c r="AR50" s="21">
        <f>U50</f>
        <v>107.38132989792885</v>
      </c>
      <c r="AS50" s="21">
        <f>Y50</f>
        <v>110.7164535201338</v>
      </c>
      <c r="AT50" s="21">
        <f>AC50</f>
        <v>57.997748121490893</v>
      </c>
      <c r="AU50" s="21">
        <f>AG50</f>
        <v>10.503552867493356</v>
      </c>
      <c r="AV50" s="21">
        <f>AK50</f>
        <v>108.63578705028762</v>
      </c>
    </row>
    <row r="51" spans="1:48" x14ac:dyDescent="0.2">
      <c r="A51" s="32"/>
      <c r="B51" s="247"/>
      <c r="C51" s="247"/>
      <c r="D51" s="247"/>
      <c r="E51" s="247"/>
      <c r="F51" s="247"/>
      <c r="G51" s="247"/>
      <c r="H51" s="248"/>
      <c r="I51" s="248"/>
      <c r="J51" s="249"/>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6"/>
      <c r="AM51" s="248"/>
      <c r="AN51" s="248"/>
      <c r="AO51" s="248"/>
      <c r="AP51" s="248"/>
      <c r="AQ51" s="248"/>
      <c r="AR51" s="248"/>
      <c r="AS51" s="248"/>
      <c r="AT51" s="248"/>
      <c r="AU51" s="248"/>
      <c r="AV51" s="248"/>
    </row>
    <row r="52" spans="1:48" x14ac:dyDescent="0.2">
      <c r="A52" s="18"/>
      <c r="B52" s="47"/>
      <c r="C52" s="47"/>
      <c r="D52" s="47"/>
      <c r="E52" s="47"/>
      <c r="F52" s="47"/>
      <c r="G52" s="47"/>
      <c r="H52" s="18"/>
      <c r="I52" s="18"/>
      <c r="J52" s="250"/>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250"/>
      <c r="AM52" s="18"/>
      <c r="AN52" s="18"/>
      <c r="AO52" s="18"/>
      <c r="AP52" s="18"/>
    </row>
    <row r="53" spans="1:48" x14ac:dyDescent="0.2">
      <c r="A53" s="251" t="s">
        <v>192</v>
      </c>
      <c r="B53" s="47"/>
      <c r="C53" s="47"/>
      <c r="D53" s="47"/>
      <c r="E53" s="47"/>
      <c r="F53" s="47"/>
      <c r="G53" s="47"/>
      <c r="H53" s="18"/>
      <c r="I53" s="18"/>
      <c r="J53" s="250"/>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250"/>
      <c r="AM53" s="18"/>
      <c r="AN53" s="18"/>
      <c r="AO53" s="18"/>
      <c r="AP53" s="18"/>
    </row>
    <row r="54" spans="1:48" x14ac:dyDescent="0.2">
      <c r="A54" s="251" t="s">
        <v>193</v>
      </c>
      <c r="B54" s="47"/>
      <c r="C54" s="47"/>
      <c r="D54" s="252"/>
      <c r="E54" s="252"/>
      <c r="F54" s="47"/>
      <c r="G54" s="47"/>
      <c r="H54" s="253"/>
      <c r="I54" s="253"/>
      <c r="J54" s="250"/>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250"/>
      <c r="AM54" s="253"/>
      <c r="AN54" s="253"/>
      <c r="AO54" s="253"/>
      <c r="AP54" s="253"/>
    </row>
    <row r="55" spans="1:48" x14ac:dyDescent="0.2">
      <c r="A55" s="251" t="s">
        <v>265</v>
      </c>
      <c r="B55" s="47"/>
      <c r="C55" s="47"/>
      <c r="D55" s="252"/>
      <c r="E55" s="252"/>
      <c r="F55" s="47"/>
      <c r="G55" s="47"/>
      <c r="H55" s="253"/>
      <c r="I55" s="253"/>
      <c r="J55" s="250"/>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250"/>
      <c r="AM55" s="253"/>
      <c r="AN55" s="253"/>
      <c r="AO55" s="253"/>
      <c r="AP55" s="253"/>
    </row>
    <row r="56" spans="1:48" x14ac:dyDescent="0.2">
      <c r="A56" s="18" t="s">
        <v>217</v>
      </c>
      <c r="B56" s="47"/>
      <c r="C56" s="47"/>
      <c r="D56" s="254"/>
      <c r="E56" s="254"/>
      <c r="F56" s="47"/>
      <c r="G56" s="47"/>
      <c r="H56" s="253"/>
      <c r="I56" s="253"/>
      <c r="J56" s="250"/>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250"/>
      <c r="AM56" s="253"/>
      <c r="AN56" s="253"/>
      <c r="AO56" s="253"/>
      <c r="AP56" s="253"/>
    </row>
    <row r="57" spans="1:48" x14ac:dyDescent="0.2">
      <c r="A57" s="18"/>
      <c r="B57" s="47"/>
      <c r="C57" s="47"/>
      <c r="D57" s="254"/>
      <c r="E57" s="254"/>
      <c r="F57" s="47"/>
      <c r="G57" s="47"/>
      <c r="H57" s="253"/>
      <c r="I57" s="253"/>
      <c r="J57" s="250"/>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250"/>
      <c r="AM57" s="253"/>
      <c r="AN57" s="253"/>
      <c r="AO57" s="253"/>
      <c r="AP57" s="253"/>
    </row>
    <row r="58" spans="1:48" x14ac:dyDescent="0.2">
      <c r="A58" s="18"/>
      <c r="B58" s="47"/>
      <c r="C58" s="47"/>
      <c r="D58" s="252"/>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row>
    <row r="59" spans="1:48" hidden="1" outlineLevel="1" x14ac:dyDescent="0.2">
      <c r="A59" s="18" t="s">
        <v>269</v>
      </c>
      <c r="B59" s="47"/>
      <c r="C59" s="47"/>
      <c r="D59" s="253"/>
      <c r="E59" s="21">
        <v>26.065000000000001</v>
      </c>
      <c r="F59" s="21">
        <v>0</v>
      </c>
      <c r="G59" s="21">
        <v>0</v>
      </c>
      <c r="H59" s="21">
        <v>0</v>
      </c>
      <c r="I59" s="21">
        <v>24.431999999999999</v>
      </c>
      <c r="J59" s="21">
        <v>0</v>
      </c>
      <c r="K59" s="21">
        <v>0</v>
      </c>
      <c r="L59" s="21">
        <v>0</v>
      </c>
      <c r="M59" s="21">
        <v>242.685</v>
      </c>
      <c r="N59" s="21">
        <v>0</v>
      </c>
      <c r="O59" s="21">
        <v>0</v>
      </c>
      <c r="P59" s="21">
        <v>0</v>
      </c>
      <c r="Q59" s="21">
        <v>98.911000000000001</v>
      </c>
      <c r="R59" s="21">
        <v>0</v>
      </c>
      <c r="S59" s="21">
        <v>0</v>
      </c>
      <c r="T59" s="21">
        <v>0</v>
      </c>
      <c r="U59" s="21">
        <v>130.04400000000001</v>
      </c>
      <c r="V59" s="21">
        <v>0</v>
      </c>
      <c r="W59" s="21">
        <v>0</v>
      </c>
      <c r="X59" s="21">
        <v>0</v>
      </c>
      <c r="Y59" s="21">
        <v>985.00831068033699</v>
      </c>
      <c r="Z59" s="21">
        <v>422.62200000000001</v>
      </c>
      <c r="AA59" s="21">
        <v>884.92100000000005</v>
      </c>
      <c r="AB59" s="21">
        <v>1180.164</v>
      </c>
      <c r="AC59" s="21">
        <v>1526.183</v>
      </c>
      <c r="AD59" s="21">
        <v>346.14699999999999</v>
      </c>
      <c r="AE59" s="21">
        <v>717.06100000000004</v>
      </c>
      <c r="AF59" s="21">
        <v>1189.3620000000001</v>
      </c>
      <c r="AG59" s="21">
        <v>1396.165</v>
      </c>
      <c r="AH59" s="21">
        <v>295.90899999999999</v>
      </c>
      <c r="AI59" s="21">
        <v>567.34299999999996</v>
      </c>
      <c r="AJ59" s="21">
        <v>940.21699999999998</v>
      </c>
      <c r="AK59" s="21">
        <v>1284.193</v>
      </c>
      <c r="AL59" s="21"/>
      <c r="AM59" s="29">
        <v>4.4020000000000001</v>
      </c>
      <c r="AN59" s="29">
        <f>E59</f>
        <v>26.065000000000001</v>
      </c>
      <c r="AO59" s="29">
        <f>I59</f>
        <v>24.431999999999999</v>
      </c>
      <c r="AP59" s="29">
        <f>M59</f>
        <v>242.685</v>
      </c>
      <c r="AQ59" s="29">
        <f>Q59</f>
        <v>98.911000000000001</v>
      </c>
      <c r="AR59" s="29">
        <f>U59</f>
        <v>130.04400000000001</v>
      </c>
      <c r="AS59" s="29">
        <f>Y59</f>
        <v>985.00831068033699</v>
      </c>
      <c r="AT59" s="29">
        <f>AC59</f>
        <v>1526.183</v>
      </c>
      <c r="AU59" s="29">
        <f>AG59</f>
        <v>1396.165</v>
      </c>
      <c r="AV59" s="29">
        <f>AK59</f>
        <v>1284.193</v>
      </c>
    </row>
    <row r="60" spans="1:48" hidden="1" outlineLevel="1" x14ac:dyDescent="0.2">
      <c r="A60" s="18" t="s">
        <v>270</v>
      </c>
      <c r="B60" s="47"/>
      <c r="C60" s="47"/>
      <c r="D60" s="253"/>
      <c r="E60" s="21">
        <f>E59+E28</f>
        <v>5612.79</v>
      </c>
      <c r="F60" s="21">
        <f t="shared" ref="F60:AM60" si="25">F59+F28</f>
        <v>1598.702</v>
      </c>
      <c r="G60" s="21">
        <f t="shared" si="25"/>
        <v>3728.3679999999999</v>
      </c>
      <c r="H60" s="21">
        <f t="shared" si="25"/>
        <v>5049.2709999999997</v>
      </c>
      <c r="I60" s="21">
        <f t="shared" si="25"/>
        <v>6970.482</v>
      </c>
      <c r="J60" s="21">
        <f t="shared" si="25"/>
        <v>1779.491</v>
      </c>
      <c r="K60" s="21">
        <f t="shared" si="25"/>
        <v>4698.0910000000003</v>
      </c>
      <c r="L60" s="21">
        <f t="shared" si="25"/>
        <v>7807.1049999999996</v>
      </c>
      <c r="M60" s="21">
        <f t="shared" si="25"/>
        <v>9885.625</v>
      </c>
      <c r="N60" s="21">
        <f t="shared" si="25"/>
        <v>1136.296</v>
      </c>
      <c r="O60" s="21">
        <f t="shared" si="25"/>
        <v>2215.098</v>
      </c>
      <c r="P60" s="21">
        <f t="shared" si="25"/>
        <v>3707.7739999999999</v>
      </c>
      <c r="Q60" s="21">
        <f t="shared" si="25"/>
        <v>5404.098</v>
      </c>
      <c r="R60" s="21">
        <f t="shared" si="25"/>
        <v>1471.847</v>
      </c>
      <c r="S60" s="21">
        <f t="shared" si="25"/>
        <v>3338.067</v>
      </c>
      <c r="T60" s="21">
        <f t="shared" si="25"/>
        <v>5240.7060000000001</v>
      </c>
      <c r="U60" s="21">
        <f t="shared" si="25"/>
        <v>7290.6669999999995</v>
      </c>
      <c r="V60" s="21">
        <f t="shared" si="25"/>
        <v>1836.7729999999999</v>
      </c>
      <c r="W60" s="21">
        <f t="shared" si="25"/>
        <v>4191.6760000000004</v>
      </c>
      <c r="X60" s="21">
        <f t="shared" si="25"/>
        <v>6156.67462629287</v>
      </c>
      <c r="Y60" s="21">
        <f t="shared" si="25"/>
        <v>9027.7253106803364</v>
      </c>
      <c r="Z60" s="21">
        <f t="shared" si="25"/>
        <v>2217.2719999999999</v>
      </c>
      <c r="AA60" s="21">
        <f t="shared" si="25"/>
        <v>4495.3329999999996</v>
      </c>
      <c r="AB60" s="21">
        <f t="shared" si="25"/>
        <v>6626.7049999999999</v>
      </c>
      <c r="AC60" s="21">
        <f t="shared" si="25"/>
        <v>8675.9850000000006</v>
      </c>
      <c r="AD60" s="21">
        <f t="shared" si="25"/>
        <v>2005.2089999999998</v>
      </c>
      <c r="AE60" s="21">
        <f t="shared" si="25"/>
        <v>4060.8870000000002</v>
      </c>
      <c r="AF60" s="21">
        <f t="shared" si="25"/>
        <v>6062.6270000000004</v>
      </c>
      <c r="AG60" s="21">
        <f t="shared" si="25"/>
        <v>7864.5360000000001</v>
      </c>
      <c r="AH60" s="21">
        <f t="shared" si="25"/>
        <v>2038.3229999999999</v>
      </c>
      <c r="AI60" s="21">
        <f t="shared" si="25"/>
        <v>4037.4479999999999</v>
      </c>
      <c r="AJ60" s="21">
        <f>AJ59+AJ28</f>
        <v>6045.9559999999992</v>
      </c>
      <c r="AK60" s="21">
        <f>AK59+AK28</f>
        <v>7871.9580000000005</v>
      </c>
      <c r="AL60" s="21"/>
      <c r="AM60" s="21">
        <f t="shared" si="25"/>
        <v>4199.6379999999999</v>
      </c>
      <c r="AN60" s="29">
        <f>E60</f>
        <v>5612.79</v>
      </c>
      <c r="AO60" s="29">
        <f>I60</f>
        <v>6970.482</v>
      </c>
      <c r="AP60" s="29">
        <f>M60</f>
        <v>9885.625</v>
      </c>
      <c r="AQ60" s="29">
        <f>Q60</f>
        <v>5404.098</v>
      </c>
      <c r="AR60" s="29">
        <f>U60</f>
        <v>7290.6669999999995</v>
      </c>
      <c r="AS60" s="29">
        <f>Y60</f>
        <v>9027.7253106803364</v>
      </c>
      <c r="AT60" s="29">
        <f>AC60</f>
        <v>8675.9850000000006</v>
      </c>
      <c r="AU60" s="29">
        <f>AG60</f>
        <v>7864.5360000000001</v>
      </c>
      <c r="AV60" s="29">
        <f>AK60</f>
        <v>7871.9580000000005</v>
      </c>
    </row>
    <row r="61" spans="1:48" collapsed="1" x14ac:dyDescent="0.2">
      <c r="A61" s="18"/>
      <c r="B61" s="47"/>
      <c r="C61" s="252"/>
      <c r="D61" s="252"/>
      <c r="E61" s="252"/>
      <c r="F61" s="47"/>
      <c r="G61" s="47"/>
      <c r="H61" s="253"/>
      <c r="I61" s="253"/>
      <c r="J61" s="250"/>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250"/>
      <c r="AM61" s="253"/>
      <c r="AN61" s="253"/>
      <c r="AO61" s="253"/>
      <c r="AP61" s="253"/>
    </row>
    <row r="62" spans="1:48" x14ac:dyDescent="0.2">
      <c r="A62" s="18"/>
      <c r="B62" s="47"/>
      <c r="C62" s="254"/>
      <c r="D62" s="253"/>
      <c r="E62" s="252"/>
      <c r="F62" s="47"/>
      <c r="G62" s="47"/>
      <c r="I62" s="253"/>
      <c r="J62" s="250"/>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250"/>
      <c r="AM62" s="253"/>
      <c r="AN62" s="253"/>
      <c r="AO62" s="253"/>
      <c r="AP62" s="253"/>
    </row>
    <row r="63" spans="1:48" x14ac:dyDescent="0.2">
      <c r="A63" s="18"/>
      <c r="B63" s="47"/>
      <c r="C63" s="252"/>
      <c r="D63" s="252"/>
      <c r="E63" s="252"/>
      <c r="F63" s="47"/>
      <c r="G63" s="47"/>
      <c r="H63" s="253"/>
      <c r="I63" s="253"/>
      <c r="J63" s="250"/>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250"/>
      <c r="AM63" s="253"/>
      <c r="AN63" s="253"/>
      <c r="AO63" s="253"/>
      <c r="AP63" s="253"/>
    </row>
    <row r="64" spans="1:48" x14ac:dyDescent="0.2">
      <c r="A64" s="18"/>
      <c r="B64" s="47"/>
      <c r="C64" s="254"/>
      <c r="D64" s="252"/>
      <c r="E64" s="252"/>
      <c r="F64" s="47"/>
      <c r="G64" s="47"/>
      <c r="H64" s="253"/>
      <c r="I64" s="253"/>
      <c r="J64" s="250"/>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250"/>
      <c r="AM64" s="253"/>
      <c r="AN64" s="253"/>
      <c r="AO64" s="253"/>
      <c r="AP64" s="253"/>
    </row>
    <row r="65" spans="1:47" s="194" customFormat="1" x14ac:dyDescent="0.2">
      <c r="A65" s="18"/>
      <c r="B65" s="47"/>
      <c r="C65" s="254"/>
      <c r="D65" s="252"/>
      <c r="E65" s="252"/>
      <c r="F65" s="47"/>
      <c r="G65" s="47"/>
      <c r="H65" s="253"/>
      <c r="I65" s="253"/>
      <c r="J65" s="250"/>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250"/>
      <c r="AM65" s="253"/>
      <c r="AN65" s="253"/>
      <c r="AO65" s="253"/>
      <c r="AP65" s="253"/>
      <c r="AQ65" s="232"/>
      <c r="AR65" s="232"/>
      <c r="AS65" s="232"/>
      <c r="AT65" s="232"/>
      <c r="AU65" s="232"/>
    </row>
    <row r="66" spans="1:47" x14ac:dyDescent="0.2">
      <c r="A66" s="18"/>
      <c r="B66" s="47"/>
      <c r="C66" s="254"/>
      <c r="D66" s="252"/>
      <c r="E66" s="252"/>
      <c r="F66" s="47"/>
      <c r="G66" s="47"/>
      <c r="H66" s="253"/>
      <c r="I66" s="253"/>
      <c r="J66" s="250"/>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250"/>
      <c r="AM66" s="253"/>
      <c r="AN66" s="253"/>
      <c r="AO66" s="253"/>
      <c r="AP66" s="253"/>
    </row>
    <row r="67" spans="1:47" s="194" customFormat="1" x14ac:dyDescent="0.2">
      <c r="A67" s="18"/>
      <c r="B67" s="47"/>
      <c r="C67" s="254"/>
      <c r="D67" s="252"/>
      <c r="E67" s="252"/>
      <c r="F67" s="47"/>
      <c r="G67" s="47"/>
      <c r="H67" s="253"/>
      <c r="I67" s="253"/>
      <c r="J67" s="250"/>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250"/>
      <c r="AM67" s="253"/>
      <c r="AN67" s="253"/>
      <c r="AO67" s="253"/>
      <c r="AP67" s="253"/>
      <c r="AQ67" s="232"/>
      <c r="AR67" s="232"/>
      <c r="AS67" s="232"/>
      <c r="AT67" s="232"/>
      <c r="AU67" s="232"/>
    </row>
    <row r="68" spans="1:47" x14ac:dyDescent="0.2">
      <c r="A68" s="18"/>
      <c r="B68" s="47"/>
      <c r="C68" s="252"/>
      <c r="D68" s="252"/>
      <c r="E68" s="252"/>
      <c r="F68" s="252"/>
      <c r="G68" s="252"/>
      <c r="H68" s="253"/>
      <c r="I68" s="253"/>
      <c r="J68" s="256"/>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6"/>
      <c r="AM68" s="253"/>
      <c r="AN68" s="253"/>
      <c r="AO68" s="253"/>
      <c r="AP68" s="253"/>
    </row>
    <row r="69" spans="1:47" x14ac:dyDescent="0.2">
      <c r="A69" s="18"/>
      <c r="B69" s="47"/>
      <c r="C69" s="252"/>
      <c r="D69" s="252"/>
      <c r="E69" s="252"/>
      <c r="F69" s="252"/>
      <c r="G69" s="252"/>
      <c r="H69" s="253"/>
      <c r="I69" s="253"/>
      <c r="J69" s="256"/>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6"/>
      <c r="AM69" s="253"/>
      <c r="AN69" s="253"/>
      <c r="AO69" s="253"/>
      <c r="AP69" s="253"/>
    </row>
    <row r="70" spans="1:47" x14ac:dyDescent="0.2">
      <c r="A70" s="18"/>
      <c r="B70" s="47"/>
      <c r="C70" s="252"/>
      <c r="D70" s="252"/>
      <c r="E70" s="252"/>
      <c r="F70" s="252"/>
      <c r="G70" s="252"/>
      <c r="H70" s="253"/>
      <c r="I70" s="253"/>
      <c r="J70" s="256"/>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6"/>
      <c r="AM70" s="253"/>
      <c r="AN70" s="253"/>
      <c r="AO70" s="253"/>
      <c r="AP70" s="253"/>
    </row>
    <row r="71" spans="1:47" x14ac:dyDescent="0.2">
      <c r="A71" s="18"/>
      <c r="B71" s="47"/>
      <c r="C71" s="252"/>
      <c r="D71" s="252"/>
      <c r="E71" s="252"/>
      <c r="F71" s="252"/>
      <c r="G71" s="252"/>
      <c r="H71" s="253"/>
      <c r="I71" s="253"/>
      <c r="J71" s="256"/>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6"/>
      <c r="AM71" s="253"/>
      <c r="AN71" s="253"/>
      <c r="AO71" s="253"/>
      <c r="AP71" s="253"/>
    </row>
    <row r="72" spans="1:47" x14ac:dyDescent="0.2">
      <c r="A72" s="18"/>
      <c r="B72" s="47"/>
      <c r="C72" s="252"/>
      <c r="D72" s="252"/>
      <c r="E72" s="252"/>
      <c r="F72" s="252"/>
      <c r="G72" s="252"/>
      <c r="H72" s="253"/>
      <c r="I72" s="253"/>
      <c r="J72" s="256"/>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6"/>
      <c r="AM72" s="253"/>
      <c r="AN72" s="253"/>
      <c r="AO72" s="253"/>
      <c r="AP72" s="253"/>
    </row>
    <row r="73" spans="1:47" x14ac:dyDescent="0.2">
      <c r="A73" s="18"/>
      <c r="B73" s="47"/>
      <c r="C73" s="252"/>
      <c r="D73" s="252"/>
      <c r="E73" s="252"/>
      <c r="F73" s="252"/>
      <c r="G73" s="252"/>
      <c r="H73" s="253"/>
      <c r="I73" s="253"/>
      <c r="J73" s="256"/>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6"/>
      <c r="AM73" s="253"/>
      <c r="AN73" s="253"/>
      <c r="AO73" s="253"/>
      <c r="AP73" s="253"/>
    </row>
    <row r="74" spans="1:47" x14ac:dyDescent="0.2">
      <c r="A74" s="18"/>
      <c r="B74" s="47"/>
      <c r="C74" s="257"/>
      <c r="D74" s="257"/>
      <c r="E74" s="257"/>
      <c r="F74" s="257"/>
      <c r="G74" s="257"/>
      <c r="H74" s="258"/>
      <c r="I74" s="258"/>
      <c r="J74" s="259"/>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9"/>
      <c r="AM74" s="258"/>
      <c r="AN74" s="258"/>
      <c r="AO74" s="258"/>
      <c r="AP74" s="258"/>
    </row>
    <row r="75" spans="1:47" x14ac:dyDescent="0.2">
      <c r="A75" s="18"/>
      <c r="B75" s="257"/>
      <c r="C75" s="257"/>
      <c r="D75" s="257"/>
      <c r="E75" s="257"/>
      <c r="F75" s="257"/>
      <c r="G75" s="257"/>
      <c r="H75" s="258"/>
      <c r="I75" s="258"/>
      <c r="J75" s="259"/>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9"/>
      <c r="AM75" s="258"/>
      <c r="AN75" s="258"/>
      <c r="AO75" s="258"/>
      <c r="AP75" s="258"/>
    </row>
    <row r="76" spans="1:47" x14ac:dyDescent="0.2">
      <c r="A76" s="18"/>
      <c r="B76" s="257"/>
      <c r="C76" s="257"/>
      <c r="D76" s="257"/>
      <c r="E76" s="257"/>
      <c r="F76" s="257"/>
      <c r="G76" s="257"/>
      <c r="H76" s="258"/>
      <c r="I76" s="258"/>
      <c r="J76" s="259"/>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9"/>
      <c r="AM76" s="258"/>
      <c r="AN76" s="258"/>
      <c r="AO76" s="258"/>
      <c r="AP76" s="258"/>
    </row>
    <row r="77" spans="1:47" x14ac:dyDescent="0.2">
      <c r="A77" s="18"/>
      <c r="B77" s="257"/>
      <c r="C77" s="257"/>
      <c r="D77" s="257"/>
      <c r="E77" s="257"/>
      <c r="F77" s="257"/>
      <c r="G77" s="257"/>
      <c r="H77" s="258"/>
      <c r="I77" s="258"/>
      <c r="J77" s="259"/>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9"/>
      <c r="AM77" s="258"/>
      <c r="AN77" s="258"/>
      <c r="AO77" s="258"/>
      <c r="AP77" s="258"/>
    </row>
    <row r="78" spans="1:47" x14ac:dyDescent="0.2">
      <c r="A78" s="18"/>
      <c r="B78" s="257"/>
      <c r="C78" s="257"/>
      <c r="D78" s="257"/>
      <c r="E78" s="257"/>
      <c r="F78" s="257"/>
      <c r="G78" s="257"/>
      <c r="H78" s="258"/>
      <c r="I78" s="258"/>
      <c r="J78" s="259"/>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9"/>
      <c r="AM78" s="258"/>
      <c r="AN78" s="258"/>
      <c r="AO78" s="258"/>
      <c r="AP78" s="258"/>
    </row>
    <row r="79" spans="1:47" x14ac:dyDescent="0.2">
      <c r="A79" s="18"/>
      <c r="B79" s="257"/>
      <c r="C79" s="257"/>
      <c r="D79" s="257"/>
      <c r="E79" s="257"/>
      <c r="F79" s="257"/>
      <c r="G79" s="257"/>
      <c r="H79" s="258"/>
      <c r="I79" s="258"/>
      <c r="J79" s="259"/>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9"/>
      <c r="AM79" s="258"/>
      <c r="AN79" s="258"/>
      <c r="AO79" s="258"/>
      <c r="AP79" s="258"/>
    </row>
    <row r="80" spans="1:47" x14ac:dyDescent="0.2">
      <c r="A80" s="18"/>
      <c r="B80" s="257"/>
      <c r="C80" s="257"/>
      <c r="D80" s="257"/>
      <c r="E80" s="257"/>
      <c r="F80" s="257"/>
      <c r="G80" s="257"/>
      <c r="H80" s="258"/>
      <c r="I80" s="258"/>
      <c r="J80" s="259"/>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9"/>
      <c r="AM80" s="258"/>
      <c r="AN80" s="258"/>
      <c r="AO80" s="258"/>
      <c r="AP80" s="258"/>
    </row>
    <row r="81" spans="1:47" s="194" customFormat="1" x14ac:dyDescent="0.2">
      <c r="A81" s="18"/>
      <c r="B81" s="257"/>
      <c r="C81" s="257"/>
      <c r="D81" s="257"/>
      <c r="E81" s="257"/>
      <c r="F81" s="257"/>
      <c r="G81" s="257"/>
      <c r="H81" s="258"/>
      <c r="I81" s="258"/>
      <c r="J81" s="259"/>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9"/>
      <c r="AM81" s="258"/>
      <c r="AN81" s="258"/>
      <c r="AO81" s="258"/>
      <c r="AP81" s="258"/>
      <c r="AQ81" s="232"/>
      <c r="AR81" s="232"/>
      <c r="AS81" s="232"/>
      <c r="AT81" s="232"/>
      <c r="AU81" s="232"/>
    </row>
    <row r="82" spans="1:47" x14ac:dyDescent="0.2">
      <c r="A82" s="18"/>
      <c r="B82" s="257"/>
      <c r="C82" s="257"/>
      <c r="D82" s="257"/>
      <c r="E82" s="257"/>
      <c r="F82" s="257"/>
      <c r="G82" s="257"/>
      <c r="H82" s="258"/>
      <c r="I82" s="258"/>
      <c r="J82" s="259"/>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9"/>
      <c r="AM82" s="258"/>
      <c r="AN82" s="258"/>
      <c r="AO82" s="258"/>
      <c r="AP82" s="258"/>
    </row>
    <row r="83" spans="1:47" x14ac:dyDescent="0.2">
      <c r="A83" s="18"/>
      <c r="B83" s="257"/>
      <c r="C83" s="257"/>
      <c r="D83" s="257"/>
      <c r="E83" s="257"/>
      <c r="F83" s="257"/>
      <c r="G83" s="257"/>
      <c r="H83" s="258"/>
      <c r="I83" s="258"/>
      <c r="J83" s="259"/>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9"/>
      <c r="AM83" s="258"/>
      <c r="AN83" s="258"/>
      <c r="AO83" s="258"/>
      <c r="AP83" s="258"/>
    </row>
    <row r="84" spans="1:47" x14ac:dyDescent="0.2">
      <c r="A84" s="18"/>
      <c r="B84" s="257"/>
      <c r="C84" s="257"/>
      <c r="D84" s="257"/>
      <c r="E84" s="257"/>
      <c r="F84" s="257"/>
      <c r="G84" s="257"/>
      <c r="H84" s="258"/>
      <c r="I84" s="258"/>
      <c r="J84" s="259"/>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9"/>
      <c r="AM84" s="258"/>
      <c r="AN84" s="258"/>
      <c r="AO84" s="258"/>
      <c r="AP84" s="258"/>
    </row>
    <row r="85" spans="1:47" s="194" customFormat="1" x14ac:dyDescent="0.2">
      <c r="A85" s="18"/>
      <c r="B85" s="257"/>
      <c r="C85" s="257"/>
      <c r="D85" s="257"/>
      <c r="E85" s="257"/>
      <c r="F85" s="257"/>
      <c r="G85" s="257"/>
      <c r="H85" s="258"/>
      <c r="I85" s="258"/>
      <c r="J85" s="259"/>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9"/>
      <c r="AM85" s="258"/>
      <c r="AN85" s="258"/>
      <c r="AO85" s="258"/>
      <c r="AP85" s="258"/>
      <c r="AQ85" s="232"/>
      <c r="AR85" s="232"/>
      <c r="AS85" s="232"/>
      <c r="AT85" s="232"/>
      <c r="AU85" s="232"/>
    </row>
    <row r="86" spans="1:47" x14ac:dyDescent="0.2">
      <c r="A86" s="18"/>
      <c r="B86" s="257"/>
      <c r="C86" s="257"/>
      <c r="D86" s="257"/>
      <c r="E86" s="257"/>
      <c r="F86" s="257"/>
      <c r="G86" s="257"/>
      <c r="H86" s="258"/>
      <c r="I86" s="258"/>
      <c r="J86" s="259"/>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9"/>
      <c r="AM86" s="258"/>
      <c r="AN86" s="258"/>
      <c r="AO86" s="258"/>
      <c r="AP86" s="258"/>
    </row>
    <row r="87" spans="1:47" s="194" customFormat="1" x14ac:dyDescent="0.2">
      <c r="A87" s="18"/>
      <c r="B87" s="257"/>
      <c r="C87" s="257"/>
      <c r="D87" s="257"/>
      <c r="E87" s="257"/>
      <c r="F87" s="257"/>
      <c r="G87" s="257"/>
      <c r="H87" s="258"/>
      <c r="I87" s="258"/>
      <c r="J87" s="259"/>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9"/>
      <c r="AM87" s="258"/>
      <c r="AN87" s="258"/>
      <c r="AO87" s="258"/>
      <c r="AP87" s="258"/>
      <c r="AQ87" s="232"/>
      <c r="AR87" s="232"/>
      <c r="AS87" s="232"/>
      <c r="AT87" s="232"/>
      <c r="AU87" s="232"/>
    </row>
    <row r="88" spans="1:47" x14ac:dyDescent="0.2">
      <c r="A88" s="18"/>
      <c r="B88" s="257"/>
      <c r="C88" s="257"/>
      <c r="D88" s="257"/>
      <c r="E88" s="257"/>
      <c r="F88" s="257"/>
      <c r="G88" s="257"/>
      <c r="H88" s="258"/>
      <c r="I88" s="258"/>
      <c r="J88" s="259"/>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9"/>
      <c r="AM88" s="258"/>
      <c r="AN88" s="258"/>
      <c r="AO88" s="258"/>
      <c r="AP88" s="258"/>
    </row>
    <row r="89" spans="1:47" x14ac:dyDescent="0.2">
      <c r="A89" s="18"/>
      <c r="B89" s="257"/>
      <c r="C89" s="257"/>
      <c r="D89" s="257"/>
      <c r="E89" s="257"/>
      <c r="F89" s="257"/>
      <c r="G89" s="257"/>
      <c r="H89" s="258"/>
      <c r="I89" s="258"/>
      <c r="J89" s="259"/>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9"/>
      <c r="AM89" s="258"/>
      <c r="AN89" s="258"/>
      <c r="AO89" s="258"/>
      <c r="AP89" s="258"/>
    </row>
    <row r="90" spans="1:47" x14ac:dyDescent="0.2">
      <c r="A90" s="18"/>
      <c r="B90" s="257"/>
      <c r="C90" s="257"/>
      <c r="D90" s="257"/>
      <c r="E90" s="257"/>
      <c r="F90" s="257"/>
      <c r="G90" s="257"/>
      <c r="H90" s="258"/>
      <c r="I90" s="258"/>
      <c r="J90" s="259"/>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9"/>
      <c r="AM90" s="258"/>
      <c r="AN90" s="258"/>
      <c r="AO90" s="258"/>
      <c r="AP90" s="258"/>
    </row>
    <row r="91" spans="1:47" x14ac:dyDescent="0.2">
      <c r="A91" s="18"/>
      <c r="B91" s="257"/>
      <c r="C91" s="257"/>
      <c r="D91" s="257"/>
      <c r="E91" s="257"/>
      <c r="F91" s="257"/>
      <c r="G91" s="257"/>
      <c r="H91" s="258"/>
      <c r="I91" s="258"/>
      <c r="J91" s="259"/>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9"/>
      <c r="AM91" s="258"/>
      <c r="AN91" s="258"/>
      <c r="AO91" s="258"/>
      <c r="AP91" s="258"/>
    </row>
    <row r="92" spans="1:47" x14ac:dyDescent="0.2">
      <c r="A92" s="18"/>
    </row>
    <row r="93" spans="1:47" x14ac:dyDescent="0.2">
      <c r="A93" s="18"/>
    </row>
  </sheetData>
  <phoneticPr fontId="2" type="noConversion"/>
  <pageMargins left="0.25" right="0.25" top="0.75" bottom="0.75" header="0.3" footer="0.3"/>
  <pageSetup paperSize="9" scale="55" orientation="landscape" r:id="rId1"/>
  <headerFooter alignWithMargins="0">
    <oddFooter>&amp;CPage &amp;P of &amp;N&amp;R&amp;F&amp;A</oddFooter>
  </headerFooter>
  <ignoredErrors>
    <ignoredError sqref="AQ22:AR22 AQ29 AQ10 AQ8:AQ9 AQ6:AQ7 AQ5:AR5 AR10 AR6:AR7 AR8:AR9 AQ18:AQ21 AQ17:AR17 AR18:AR21 AR29 AQ31 AS31 AS12 AS8:AS10 AS29 AS17:AS24 AS6 AS5:AT5 AS7:AT7 AT6 AS26:AT26 AT17:AT24 AT29 AS11:AT11 AT8:AT10 AS14:AT14 AT12 AT31 AS16:AT16 AS15 AS27 AR31 AS3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84"/>
  <sheetViews>
    <sheetView showGridLines="0" view="pageBreakPreview" zoomScaleNormal="100" zoomScaleSheetLayoutView="100" workbookViewId="0">
      <selection activeCell="AK15" sqref="AK15"/>
    </sheetView>
  </sheetViews>
  <sheetFormatPr defaultColWidth="11.42578125" defaultRowHeight="12.75" outlineLevelRow="1" outlineLevelCol="1" x14ac:dyDescent="0.2"/>
  <cols>
    <col min="1" max="1" width="39" style="36" customWidth="1"/>
    <col min="2" max="7" width="6.7109375" style="232" hidden="1" customWidth="1" outlineLevel="1"/>
    <col min="8" max="8" width="6.7109375" style="36" hidden="1" customWidth="1" outlineLevel="1"/>
    <col min="9" max="9" width="6.7109375" style="36" customWidth="1" collapsed="1"/>
    <col min="10" max="12" width="6.7109375" style="260" hidden="1" customWidth="1" outlineLevel="1"/>
    <col min="13" max="13" width="7.5703125" style="260" customWidth="1" collapsed="1"/>
    <col min="14" max="16" width="6.7109375" style="36" hidden="1" customWidth="1" outlineLevel="1"/>
    <col min="17" max="17" width="6.7109375" style="36" customWidth="1" collapsed="1"/>
    <col min="18" max="20" width="6.7109375" style="36" hidden="1" customWidth="1" outlineLevel="1"/>
    <col min="21" max="21" width="6.7109375" style="36" customWidth="1" collapsed="1"/>
    <col min="22" max="24" width="6.7109375" style="36" hidden="1" customWidth="1" outlineLevel="1"/>
    <col min="25" max="25" width="6.7109375" style="36" customWidth="1" collapsed="1"/>
    <col min="26" max="36" width="6.7109375" style="36" customWidth="1"/>
    <col min="37" max="37" width="7.7109375" style="36" customWidth="1"/>
    <col min="38" max="38" width="8.85546875" style="261" customWidth="1"/>
    <col min="39" max="39" width="9" style="36" customWidth="1"/>
    <col min="40" max="41" width="6.7109375" style="36" customWidth="1"/>
    <col min="42" max="42" width="8.42578125" style="36" customWidth="1"/>
    <col min="43" max="50" width="6.7109375" style="36" customWidth="1"/>
    <col min="51" max="16384" width="11.42578125" style="36"/>
  </cols>
  <sheetData>
    <row r="1" spans="1:48" s="194" customFormat="1" ht="15" x14ac:dyDescent="0.2">
      <c r="A1" s="194" t="s">
        <v>194</v>
      </c>
      <c r="B1" s="229"/>
      <c r="C1" s="229"/>
      <c r="D1" s="229"/>
      <c r="E1" s="229"/>
      <c r="F1" s="229"/>
      <c r="G1" s="229"/>
      <c r="J1" s="230"/>
      <c r="K1" s="230"/>
      <c r="L1" s="230"/>
      <c r="M1" s="230"/>
      <c r="AL1" s="231"/>
    </row>
    <row r="3" spans="1:48" x14ac:dyDescent="0.2">
      <c r="A3" s="2" t="s">
        <v>195</v>
      </c>
      <c r="B3" s="3" t="s">
        <v>282</v>
      </c>
      <c r="C3" s="4" t="s">
        <v>283</v>
      </c>
      <c r="D3" s="4" t="s">
        <v>284</v>
      </c>
      <c r="E3" s="4" t="s">
        <v>22</v>
      </c>
      <c r="F3" s="3" t="s">
        <v>285</v>
      </c>
      <c r="G3" s="3" t="s">
        <v>286</v>
      </c>
      <c r="H3" s="4" t="s">
        <v>287</v>
      </c>
      <c r="I3" s="4" t="s">
        <v>288</v>
      </c>
      <c r="J3" s="5" t="s">
        <v>289</v>
      </c>
      <c r="K3" s="3" t="s">
        <v>290</v>
      </c>
      <c r="L3" s="3" t="s">
        <v>291</v>
      </c>
      <c r="M3" s="3"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4" t="s">
        <v>295</v>
      </c>
      <c r="AL3" s="6"/>
      <c r="AM3" s="4">
        <v>2005</v>
      </c>
      <c r="AN3" s="4">
        <v>2006</v>
      </c>
      <c r="AO3" s="4">
        <v>2007</v>
      </c>
      <c r="AP3" s="4">
        <v>2008</v>
      </c>
      <c r="AQ3" s="4">
        <v>2009</v>
      </c>
      <c r="AR3" s="4">
        <v>2010</v>
      </c>
      <c r="AS3" s="4">
        <v>2011</v>
      </c>
      <c r="AT3" s="4">
        <v>2012</v>
      </c>
      <c r="AU3" s="4">
        <v>2013</v>
      </c>
      <c r="AV3" s="4">
        <v>2014</v>
      </c>
    </row>
    <row r="4" spans="1:48" x14ac:dyDescent="0.2">
      <c r="A4" s="7" t="s">
        <v>156</v>
      </c>
      <c r="B4" s="21" t="s">
        <v>141</v>
      </c>
      <c r="C4" s="21" t="s">
        <v>141</v>
      </c>
      <c r="D4" s="21" t="s">
        <v>141</v>
      </c>
      <c r="E4" s="21" t="s">
        <v>141</v>
      </c>
      <c r="F4" s="21" t="s">
        <v>141</v>
      </c>
      <c r="G4" s="21" t="s">
        <v>141</v>
      </c>
      <c r="H4" s="21" t="s">
        <v>141</v>
      </c>
      <c r="I4" s="21">
        <v>103.84734030000001</v>
      </c>
      <c r="J4" s="23">
        <v>476.21686908000004</v>
      </c>
      <c r="K4" s="23">
        <v>1000.0617958399999</v>
      </c>
      <c r="L4" s="23">
        <v>1511.7306035699999</v>
      </c>
      <c r="M4" s="23">
        <v>1772.73371159</v>
      </c>
      <c r="N4" s="21">
        <f>N6+N8+N10</f>
        <v>442.39915236052423</v>
      </c>
      <c r="O4" s="21">
        <f>O6+O8+O10</f>
        <v>806.95669013052407</v>
      </c>
      <c r="P4" s="21">
        <v>1304.8771698955238</v>
      </c>
      <c r="Q4" s="21">
        <v>1677.0250604755261</v>
      </c>
      <c r="R4" s="21">
        <v>315.66067985000012</v>
      </c>
      <c r="S4" s="21">
        <v>674</v>
      </c>
      <c r="T4" s="21">
        <v>1175.8899682000001</v>
      </c>
      <c r="U4" s="21">
        <v>1640</v>
      </c>
      <c r="V4" s="21">
        <f>V6+V8+V10</f>
        <v>350.24397875200009</v>
      </c>
      <c r="W4" s="21">
        <f>W6+W8+W10</f>
        <v>787.47624510199989</v>
      </c>
      <c r="X4" s="21">
        <f>SUM(X6:X10)</f>
        <v>1263.9483437100002</v>
      </c>
      <c r="Y4" s="21">
        <f>SUM(Y6:Y10)</f>
        <v>1640.9522658419999</v>
      </c>
      <c r="Z4" s="21">
        <f>SUM(Z6:Z10)</f>
        <v>388.21230599999996</v>
      </c>
      <c r="AA4" s="21">
        <f>AA6+AA8+AA10</f>
        <v>853.99380499999961</v>
      </c>
      <c r="AB4" s="21">
        <v>1298.5260519999997</v>
      </c>
      <c r="AC4" s="21">
        <v>1699.1445929999963</v>
      </c>
      <c r="AD4" s="21">
        <v>429.99821799999899</v>
      </c>
      <c r="AE4" s="21">
        <v>899.11385499999824</v>
      </c>
      <c r="AF4" s="21">
        <v>1468.8978999999981</v>
      </c>
      <c r="AG4" s="21">
        <v>2102.0653049999996</v>
      </c>
      <c r="AH4" s="21">
        <v>643.74477400000001</v>
      </c>
      <c r="AI4" s="21">
        <v>1375.687398</v>
      </c>
      <c r="AJ4" s="21">
        <v>1983.9475200000004</v>
      </c>
      <c r="AK4" s="21">
        <v>2619.4032219999999</v>
      </c>
      <c r="AL4" s="23"/>
      <c r="AM4" s="21" t="s">
        <v>141</v>
      </c>
      <c r="AN4" s="21" t="s">
        <v>141</v>
      </c>
      <c r="AO4" s="21">
        <v>103.84734030000001</v>
      </c>
      <c r="AP4" s="21">
        <v>1772.73371159</v>
      </c>
      <c r="AQ4" s="21">
        <f>Q4</f>
        <v>1677.0250604755261</v>
      </c>
      <c r="AR4" s="21">
        <f>U4</f>
        <v>1640</v>
      </c>
      <c r="AS4" s="21">
        <f>Y4</f>
        <v>1640.9522658419999</v>
      </c>
      <c r="AT4" s="21">
        <f>AC4</f>
        <v>1699.1445929999963</v>
      </c>
      <c r="AU4" s="21">
        <f>AG4</f>
        <v>2102.0653049999996</v>
      </c>
      <c r="AV4" s="21">
        <f>AK4</f>
        <v>2619.4032219999999</v>
      </c>
    </row>
    <row r="5" spans="1:48" s="237" customFormat="1" x14ac:dyDescent="0.2">
      <c r="A5" s="9" t="s">
        <v>137</v>
      </c>
      <c r="B5" s="233"/>
      <c r="C5" s="233"/>
      <c r="D5" s="233"/>
      <c r="E5" s="233"/>
      <c r="F5" s="233"/>
      <c r="G5" s="233"/>
      <c r="H5" s="234"/>
      <c r="I5" s="234"/>
      <c r="J5" s="240"/>
      <c r="K5" s="240"/>
      <c r="L5" s="241"/>
      <c r="M5" s="241"/>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
      <c r="AM5" s="234"/>
      <c r="AN5" s="262"/>
      <c r="AO5" s="262"/>
      <c r="AP5" s="262">
        <f t="shared" ref="AP5:AV5" si="0">AP4/AO4-1</f>
        <v>16.070574041365216</v>
      </c>
      <c r="AQ5" s="262">
        <f t="shared" si="0"/>
        <v>-5.3989299401674296E-2</v>
      </c>
      <c r="AR5" s="262">
        <f t="shared" si="0"/>
        <v>-2.2077821821593679E-2</v>
      </c>
      <c r="AS5" s="262">
        <f t="shared" si="0"/>
        <v>5.8064990365847002E-4</v>
      </c>
      <c r="AT5" s="262">
        <f t="shared" si="0"/>
        <v>3.5462534998321305E-2</v>
      </c>
      <c r="AU5" s="262">
        <f t="shared" si="0"/>
        <v>0.23713150349883394</v>
      </c>
      <c r="AV5" s="262">
        <f t="shared" si="0"/>
        <v>0.24610934577981647</v>
      </c>
    </row>
    <row r="6" spans="1:48" x14ac:dyDescent="0.2">
      <c r="A6" s="238" t="s">
        <v>151</v>
      </c>
      <c r="B6" s="21" t="s">
        <v>141</v>
      </c>
      <c r="C6" s="21" t="s">
        <v>141</v>
      </c>
      <c r="D6" s="21" t="s">
        <v>141</v>
      </c>
      <c r="E6" s="21" t="s">
        <v>141</v>
      </c>
      <c r="F6" s="21" t="s">
        <v>141</v>
      </c>
      <c r="G6" s="21" t="s">
        <v>141</v>
      </c>
      <c r="H6" s="21" t="s">
        <v>141</v>
      </c>
      <c r="I6" s="21">
        <v>14.676879999999999</v>
      </c>
      <c r="J6" s="23">
        <v>121.33000999999999</v>
      </c>
      <c r="K6" s="23">
        <v>293.42871499999995</v>
      </c>
      <c r="L6" s="23">
        <v>464.27146299999993</v>
      </c>
      <c r="M6" s="23">
        <v>541.24432100000013</v>
      </c>
      <c r="N6" s="21">
        <v>71.877235999999883</v>
      </c>
      <c r="O6" s="21">
        <v>128.65128200000001</v>
      </c>
      <c r="P6" s="21">
        <v>188.96117699999999</v>
      </c>
      <c r="Q6" s="21">
        <v>272.88338799999997</v>
      </c>
      <c r="R6" s="21">
        <v>31.021460000000001</v>
      </c>
      <c r="S6" s="21">
        <v>94</v>
      </c>
      <c r="T6" s="21">
        <v>166.70497399999999</v>
      </c>
      <c r="U6" s="21">
        <v>262.57716199999999</v>
      </c>
      <c r="V6" s="21">
        <v>2.3447100919999997</v>
      </c>
      <c r="W6" s="21">
        <v>2.3519300919999999</v>
      </c>
      <c r="X6" s="21">
        <v>52</v>
      </c>
      <c r="Y6" s="21">
        <v>90.223874091999747</v>
      </c>
      <c r="Z6" s="21">
        <v>0</v>
      </c>
      <c r="AA6" s="21">
        <v>1.9055799999999998</v>
      </c>
      <c r="AB6" s="21">
        <v>1.9055799999999998</v>
      </c>
      <c r="AC6" s="21">
        <v>1.92006999999999</v>
      </c>
      <c r="AD6" s="21">
        <v>0</v>
      </c>
      <c r="AE6" s="21">
        <v>1.09443</v>
      </c>
      <c r="AF6" s="21">
        <v>35.551679999999976</v>
      </c>
      <c r="AG6" s="21">
        <v>119.82520000000001</v>
      </c>
      <c r="AH6" s="21">
        <v>76.220839999999995</v>
      </c>
      <c r="AI6" s="21">
        <v>153.28127000000001</v>
      </c>
      <c r="AJ6" s="21">
        <v>218.35681</v>
      </c>
      <c r="AK6" s="21">
        <v>283.64382000000001</v>
      </c>
      <c r="AL6" s="23"/>
      <c r="AM6" s="21" t="s">
        <v>141</v>
      </c>
      <c r="AN6" s="21" t="s">
        <v>141</v>
      </c>
      <c r="AO6" s="21">
        <v>14.676879999999999</v>
      </c>
      <c r="AP6" s="21">
        <v>541.24432100000013</v>
      </c>
      <c r="AQ6" s="21">
        <f>Q6</f>
        <v>272.88338799999997</v>
      </c>
      <c r="AR6" s="21">
        <f>U6</f>
        <v>262.57716199999999</v>
      </c>
      <c r="AS6" s="21">
        <f>Y6</f>
        <v>90.223874091999747</v>
      </c>
      <c r="AT6" s="21">
        <f>AC6</f>
        <v>1.92006999999999</v>
      </c>
      <c r="AU6" s="21">
        <f>AG6</f>
        <v>119.82520000000001</v>
      </c>
      <c r="AV6" s="21">
        <f>AK6</f>
        <v>283.64382000000001</v>
      </c>
    </row>
    <row r="7" spans="1:48" s="237" customFormat="1" x14ac:dyDescent="0.2">
      <c r="A7" s="9" t="s">
        <v>137</v>
      </c>
      <c r="B7" s="233"/>
      <c r="C7" s="233"/>
      <c r="D7" s="233"/>
      <c r="E7" s="233"/>
      <c r="F7" s="233"/>
      <c r="G7" s="233"/>
      <c r="H7" s="234"/>
      <c r="I7" s="234"/>
      <c r="J7" s="240"/>
      <c r="K7" s="240"/>
      <c r="L7" s="241"/>
      <c r="M7" s="241"/>
      <c r="N7" s="234"/>
      <c r="O7" s="234"/>
      <c r="P7" s="234"/>
      <c r="Q7" s="234"/>
      <c r="R7" s="234"/>
      <c r="S7" s="234"/>
      <c r="T7" s="234"/>
      <c r="U7" s="234"/>
      <c r="V7" s="234"/>
      <c r="W7" s="21"/>
      <c r="X7" s="21"/>
      <c r="Y7" s="21"/>
      <c r="Z7" s="234"/>
      <c r="AA7" s="234"/>
      <c r="AB7" s="234"/>
      <c r="AC7" s="234"/>
      <c r="AD7" s="234"/>
      <c r="AE7" s="234"/>
      <c r="AF7" s="234"/>
      <c r="AG7" s="234"/>
      <c r="AH7" s="234"/>
      <c r="AI7" s="234"/>
      <c r="AJ7" s="234"/>
      <c r="AK7" s="234"/>
      <c r="AL7" s="23"/>
      <c r="AM7" s="234"/>
      <c r="AN7" s="262"/>
      <c r="AO7" s="262"/>
      <c r="AP7" s="262">
        <f t="shared" ref="AP7:AV7" si="1">AP6/AO6-1</f>
        <v>35.877341846495995</v>
      </c>
      <c r="AQ7" s="262">
        <f t="shared" si="1"/>
        <v>-0.4958221686357428</v>
      </c>
      <c r="AR7" s="262">
        <f t="shared" si="1"/>
        <v>-3.7767876144956025E-2</v>
      </c>
      <c r="AS7" s="262">
        <f t="shared" si="1"/>
        <v>-0.65639100748602131</v>
      </c>
      <c r="AT7" s="262">
        <f t="shared" si="1"/>
        <v>-0.97871882559551671</v>
      </c>
      <c r="AU7" s="262">
        <f t="shared" si="1"/>
        <v>61.406683089679355</v>
      </c>
      <c r="AV7" s="262">
        <f t="shared" si="1"/>
        <v>1.3671466436108597</v>
      </c>
    </row>
    <row r="8" spans="1:48" x14ac:dyDescent="0.2">
      <c r="A8" s="238" t="s">
        <v>152</v>
      </c>
      <c r="B8" s="21" t="s">
        <v>141</v>
      </c>
      <c r="C8" s="21" t="s">
        <v>141</v>
      </c>
      <c r="D8" s="21" t="s">
        <v>141</v>
      </c>
      <c r="E8" s="21" t="s">
        <v>141</v>
      </c>
      <c r="F8" s="21" t="s">
        <v>141</v>
      </c>
      <c r="G8" s="21" t="s">
        <v>141</v>
      </c>
      <c r="H8" s="21" t="s">
        <v>141</v>
      </c>
      <c r="I8" s="21">
        <v>82.902812000000011</v>
      </c>
      <c r="J8" s="23">
        <v>327.59816200000006</v>
      </c>
      <c r="K8" s="23">
        <v>628.49136599999997</v>
      </c>
      <c r="L8" s="23">
        <v>934.4</v>
      </c>
      <c r="M8" s="23">
        <v>1086.2309519999999</v>
      </c>
      <c r="N8" s="21">
        <v>334.65115399999803</v>
      </c>
      <c r="O8" s="21">
        <v>592.99681099999771</v>
      </c>
      <c r="P8" s="21">
        <v>972.58942799999772</v>
      </c>
      <c r="Q8" s="21">
        <v>1216.2385370000002</v>
      </c>
      <c r="R8" s="21">
        <v>236.59779100000011</v>
      </c>
      <c r="S8" s="21">
        <v>475</v>
      </c>
      <c r="T8" s="21">
        <v>842.21772700000008</v>
      </c>
      <c r="U8" s="21">
        <v>1157.8940239999997</v>
      </c>
      <c r="V8" s="21">
        <v>296.24472400000008</v>
      </c>
      <c r="W8" s="21">
        <v>662.29532299999994</v>
      </c>
      <c r="X8" s="21">
        <v>1018.9</v>
      </c>
      <c r="Y8" s="21">
        <v>1311.312682</v>
      </c>
      <c r="Z8" s="21">
        <v>325.62660999999997</v>
      </c>
      <c r="AA8" s="265">
        <v>712.70286399999964</v>
      </c>
      <c r="AB8" s="265">
        <v>1078.8491309999997</v>
      </c>
      <c r="AC8" s="265">
        <v>1412.3246399999973</v>
      </c>
      <c r="AD8" s="265">
        <v>359.47981999999922</v>
      </c>
      <c r="AE8" s="265">
        <v>749.50476699999865</v>
      </c>
      <c r="AF8" s="265">
        <v>1204.7763869999987</v>
      </c>
      <c r="AG8" s="265">
        <v>1676.897575</v>
      </c>
      <c r="AH8" s="265">
        <v>490.16377400000005</v>
      </c>
      <c r="AI8" s="265">
        <v>1058.0914280000002</v>
      </c>
      <c r="AJ8" s="265">
        <v>1517.0657400000005</v>
      </c>
      <c r="AK8" s="265">
        <v>2004.4955120000004</v>
      </c>
      <c r="AL8" s="23"/>
      <c r="AM8" s="21" t="s">
        <v>141</v>
      </c>
      <c r="AN8" s="21" t="s">
        <v>141</v>
      </c>
      <c r="AO8" s="21">
        <v>82.902812000000011</v>
      </c>
      <c r="AP8" s="21">
        <v>1086.2309519999999</v>
      </c>
      <c r="AQ8" s="21">
        <f>Q8</f>
        <v>1216.2385370000002</v>
      </c>
      <c r="AR8" s="21">
        <f>U8</f>
        <v>1157.8940239999997</v>
      </c>
      <c r="AS8" s="21">
        <f>Y8</f>
        <v>1311.312682</v>
      </c>
      <c r="AT8" s="21">
        <f>AC8</f>
        <v>1412.3246399999973</v>
      </c>
      <c r="AU8" s="21">
        <f>AG8</f>
        <v>1676.897575</v>
      </c>
      <c r="AV8" s="21">
        <f>AK8</f>
        <v>2004.4955120000004</v>
      </c>
    </row>
    <row r="9" spans="1:48" s="237" customFormat="1" x14ac:dyDescent="0.2">
      <c r="A9" s="9" t="s">
        <v>137</v>
      </c>
      <c r="B9" s="233"/>
      <c r="C9" s="233"/>
      <c r="D9" s="233"/>
      <c r="E9" s="233"/>
      <c r="F9" s="233"/>
      <c r="G9" s="233"/>
      <c r="H9" s="234"/>
      <c r="I9" s="234"/>
      <c r="J9" s="240"/>
      <c r="K9" s="240"/>
      <c r="L9" s="241"/>
      <c r="M9" s="241"/>
      <c r="N9" s="234"/>
      <c r="O9" s="234"/>
      <c r="P9" s="234"/>
      <c r="W9" s="21"/>
      <c r="X9" s="21"/>
      <c r="Y9" s="21"/>
      <c r="AL9" s="23"/>
      <c r="AM9" s="234"/>
      <c r="AN9" s="262"/>
      <c r="AO9" s="262"/>
      <c r="AP9" s="262">
        <f t="shared" ref="AP9:AV9" si="2">AP8/AO8-1</f>
        <v>12.102462097425594</v>
      </c>
      <c r="AQ9" s="262">
        <f t="shared" si="2"/>
        <v>0.11968687207874762</v>
      </c>
      <c r="AR9" s="262">
        <f t="shared" si="2"/>
        <v>-4.7971274733584979E-2</v>
      </c>
      <c r="AS9" s="262">
        <f t="shared" si="2"/>
        <v>0.13249801347968648</v>
      </c>
      <c r="AT9" s="262">
        <f t="shared" si="2"/>
        <v>7.7031176001390422E-2</v>
      </c>
      <c r="AU9" s="262">
        <f t="shared" si="2"/>
        <v>0.18733152952709453</v>
      </c>
      <c r="AV9" s="262">
        <f t="shared" si="2"/>
        <v>0.19535953887940982</v>
      </c>
    </row>
    <row r="10" spans="1:48" x14ac:dyDescent="0.2">
      <c r="A10" s="238" t="s">
        <v>208</v>
      </c>
      <c r="B10" s="21" t="s">
        <v>141</v>
      </c>
      <c r="C10" s="21" t="s">
        <v>141</v>
      </c>
      <c r="D10" s="21" t="s">
        <v>141</v>
      </c>
      <c r="E10" s="21" t="s">
        <v>141</v>
      </c>
      <c r="F10" s="21" t="s">
        <v>141</v>
      </c>
      <c r="G10" s="21" t="s">
        <v>141</v>
      </c>
      <c r="H10" s="21" t="s">
        <v>141</v>
      </c>
      <c r="I10" s="21">
        <v>6.2676482999999994</v>
      </c>
      <c r="J10" s="23">
        <v>27.288697079999999</v>
      </c>
      <c r="K10" s="23">
        <v>78.141714840000006</v>
      </c>
      <c r="L10" s="23">
        <v>113.05914057</v>
      </c>
      <c r="M10" s="23">
        <v>145.25843859</v>
      </c>
      <c r="N10" s="21">
        <v>35.870762360526342</v>
      </c>
      <c r="O10" s="21">
        <v>85.30859713052638</v>
      </c>
      <c r="P10" s="21">
        <v>143.3265648955263</v>
      </c>
      <c r="Q10" s="265">
        <v>187.90313547552586</v>
      </c>
      <c r="R10" s="265">
        <v>48.041428849999996</v>
      </c>
      <c r="S10" s="265">
        <v>105</v>
      </c>
      <c r="T10" s="265">
        <v>166.96726720000001</v>
      </c>
      <c r="U10" s="265">
        <v>219.30218594000002</v>
      </c>
      <c r="V10" s="21">
        <v>51.654544659999999</v>
      </c>
      <c r="W10" s="21">
        <v>122.82899201000001</v>
      </c>
      <c r="X10" s="21">
        <v>193.04834371000004</v>
      </c>
      <c r="Y10" s="21">
        <v>239.41570975000008</v>
      </c>
      <c r="Z10" s="265">
        <v>62.585696000000006</v>
      </c>
      <c r="AA10" s="21">
        <v>139.38536099999999</v>
      </c>
      <c r="AB10" s="21">
        <v>217.77134099999998</v>
      </c>
      <c r="AC10" s="21">
        <v>284.89988299999908</v>
      </c>
      <c r="AD10" s="21">
        <v>70.518397999999777</v>
      </c>
      <c r="AE10" s="21">
        <v>148.51465799999966</v>
      </c>
      <c r="AF10" s="21">
        <v>228.56983299999962</v>
      </c>
      <c r="AG10" s="21">
        <v>305.34252999999967</v>
      </c>
      <c r="AH10" s="21">
        <v>77.360159999999922</v>
      </c>
      <c r="AI10" s="21">
        <v>164.31469999999985</v>
      </c>
      <c r="AJ10" s="21">
        <v>248.52496999999974</v>
      </c>
      <c r="AK10" s="21">
        <v>331.26388999999966</v>
      </c>
      <c r="AL10" s="23"/>
      <c r="AM10" s="21" t="s">
        <v>141</v>
      </c>
      <c r="AN10" s="21" t="s">
        <v>141</v>
      </c>
      <c r="AO10" s="21">
        <v>6.2676482999999994</v>
      </c>
      <c r="AP10" s="21">
        <v>145.25843859</v>
      </c>
      <c r="AQ10" s="21">
        <f>Q10</f>
        <v>187.90313547552586</v>
      </c>
      <c r="AR10" s="21">
        <f>U10</f>
        <v>219.30218594000002</v>
      </c>
      <c r="AS10" s="21">
        <f>Y10</f>
        <v>239.41570975000008</v>
      </c>
      <c r="AT10" s="21">
        <f>AC10</f>
        <v>284.89988299999908</v>
      </c>
      <c r="AU10" s="21">
        <f>AG10</f>
        <v>305.34252999999967</v>
      </c>
      <c r="AV10" s="21">
        <f>AK10</f>
        <v>331.26388999999966</v>
      </c>
    </row>
    <row r="11" spans="1:48" s="237" customFormat="1" x14ac:dyDescent="0.2">
      <c r="A11" s="9" t="s">
        <v>137</v>
      </c>
      <c r="B11" s="233"/>
      <c r="C11" s="233"/>
      <c r="D11" s="233"/>
      <c r="E11" s="233"/>
      <c r="F11" s="233"/>
      <c r="G11" s="233"/>
      <c r="H11" s="234"/>
      <c r="I11" s="234"/>
      <c r="J11" s="235"/>
      <c r="K11" s="235"/>
      <c r="L11" s="263"/>
      <c r="M11" s="263"/>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5"/>
      <c r="AM11" s="234"/>
      <c r="AN11" s="262"/>
      <c r="AO11" s="262"/>
      <c r="AP11" s="262">
        <f t="shared" ref="AP11:AV11" si="3">AP10/AO10-1</f>
        <v>22.175907714860134</v>
      </c>
      <c r="AQ11" s="262">
        <f t="shared" si="3"/>
        <v>0.29357810327214717</v>
      </c>
      <c r="AR11" s="262">
        <f t="shared" si="3"/>
        <v>0.16710232314651208</v>
      </c>
      <c r="AS11" s="262">
        <f t="shared" si="3"/>
        <v>9.1716020630560502E-2</v>
      </c>
      <c r="AT11" s="262">
        <f t="shared" si="3"/>
        <v>0.18997990272858023</v>
      </c>
      <c r="AU11" s="262">
        <f t="shared" si="3"/>
        <v>7.175379219092437E-2</v>
      </c>
      <c r="AV11" s="262">
        <f t="shared" si="3"/>
        <v>8.4892726866447443E-2</v>
      </c>
    </row>
    <row r="12" spans="1:48" x14ac:dyDescent="0.2">
      <c r="A12" s="18"/>
      <c r="B12" s="19"/>
      <c r="C12" s="19"/>
      <c r="D12" s="19"/>
      <c r="E12" s="19"/>
      <c r="F12" s="19"/>
      <c r="G12" s="19"/>
      <c r="H12" s="19"/>
      <c r="I12" s="19"/>
      <c r="J12" s="44"/>
      <c r="K12" s="44"/>
      <c r="L12" s="44"/>
      <c r="M12" s="44"/>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44"/>
      <c r="AM12" s="19"/>
      <c r="AN12" s="19"/>
      <c r="AO12" s="19"/>
      <c r="AP12" s="19"/>
      <c r="AQ12" s="19"/>
      <c r="AR12" s="19"/>
      <c r="AS12" s="19"/>
      <c r="AT12" s="19"/>
      <c r="AU12" s="19"/>
      <c r="AV12" s="19"/>
    </row>
    <row r="13" spans="1:48" x14ac:dyDescent="0.2">
      <c r="A13" s="20" t="s">
        <v>188</v>
      </c>
      <c r="B13" s="3" t="s">
        <v>282</v>
      </c>
      <c r="C13" s="4" t="s">
        <v>283</v>
      </c>
      <c r="D13" s="4" t="s">
        <v>284</v>
      </c>
      <c r="E13" s="4" t="s">
        <v>22</v>
      </c>
      <c r="F13" s="3" t="s">
        <v>285</v>
      </c>
      <c r="G13" s="3" t="s">
        <v>286</v>
      </c>
      <c r="H13" s="4" t="s">
        <v>287</v>
      </c>
      <c r="I13" s="4" t="s">
        <v>288</v>
      </c>
      <c r="J13" s="5" t="s">
        <v>289</v>
      </c>
      <c r="K13" s="3" t="s">
        <v>290</v>
      </c>
      <c r="L13" s="3" t="s">
        <v>291</v>
      </c>
      <c r="M13" s="3" t="s">
        <v>292</v>
      </c>
      <c r="N13" s="4" t="s">
        <v>279</v>
      </c>
      <c r="O13" s="4" t="s">
        <v>280</v>
      </c>
      <c r="P13" s="4" t="s">
        <v>281</v>
      </c>
      <c r="Q13" s="4" t="s">
        <v>183</v>
      </c>
      <c r="R13" s="4" t="s">
        <v>187</v>
      </c>
      <c r="S13" s="4" t="s">
        <v>200</v>
      </c>
      <c r="T13" s="4" t="s">
        <v>203</v>
      </c>
      <c r="U13" s="4" t="s">
        <v>206</v>
      </c>
      <c r="V13" s="4" t="s">
        <v>278</v>
      </c>
      <c r="W13" s="4" t="s">
        <v>211</v>
      </c>
      <c r="X13" s="4" t="s">
        <v>213</v>
      </c>
      <c r="Y13" s="4" t="s">
        <v>215</v>
      </c>
      <c r="Z13" s="4" t="s">
        <v>272</v>
      </c>
      <c r="AA13" s="4" t="s">
        <v>227</v>
      </c>
      <c r="AB13" s="4" t="s">
        <v>237</v>
      </c>
      <c r="AC13" s="4" t="s">
        <v>239</v>
      </c>
      <c r="AD13" s="4" t="s">
        <v>273</v>
      </c>
      <c r="AE13" s="4" t="s">
        <v>274</v>
      </c>
      <c r="AF13" s="4" t="s">
        <v>248</v>
      </c>
      <c r="AG13" s="4" t="s">
        <v>255</v>
      </c>
      <c r="AH13" s="4" t="s">
        <v>275</v>
      </c>
      <c r="AI13" s="4" t="s">
        <v>276</v>
      </c>
      <c r="AJ13" s="4" t="s">
        <v>277</v>
      </c>
      <c r="AK13" s="4" t="s">
        <v>295</v>
      </c>
      <c r="AL13" s="6"/>
      <c r="AM13" s="4">
        <v>2005</v>
      </c>
      <c r="AN13" s="4">
        <v>2006</v>
      </c>
      <c r="AO13" s="4">
        <v>2007</v>
      </c>
      <c r="AP13" s="4">
        <v>2008</v>
      </c>
      <c r="AQ13" s="4">
        <v>2009</v>
      </c>
      <c r="AR13" s="4">
        <v>2010</v>
      </c>
      <c r="AS13" s="4">
        <v>2011</v>
      </c>
      <c r="AT13" s="4">
        <v>2012</v>
      </c>
      <c r="AU13" s="4">
        <v>2013</v>
      </c>
      <c r="AV13" s="4">
        <v>2014</v>
      </c>
    </row>
    <row r="14" spans="1:48" s="48" customFormat="1" x14ac:dyDescent="0.2">
      <c r="A14" s="216" t="s">
        <v>16</v>
      </c>
      <c r="B14" s="21" t="s">
        <v>141</v>
      </c>
      <c r="C14" s="21" t="s">
        <v>141</v>
      </c>
      <c r="D14" s="21" t="s">
        <v>141</v>
      </c>
      <c r="E14" s="21" t="s">
        <v>141</v>
      </c>
      <c r="F14" s="21" t="s">
        <v>141</v>
      </c>
      <c r="G14" s="21" t="s">
        <v>141</v>
      </c>
      <c r="H14" s="21" t="s">
        <v>141</v>
      </c>
      <c r="I14" s="21">
        <v>569.9336935942797</v>
      </c>
      <c r="J14" s="23">
        <v>615.7806351346901</v>
      </c>
      <c r="K14" s="23">
        <v>806.01457999623688</v>
      </c>
      <c r="L14" s="23">
        <v>894.83690639479676</v>
      </c>
      <c r="M14" s="23">
        <v>801.4921069501105</v>
      </c>
      <c r="N14" s="21">
        <v>381.60630421564156</v>
      </c>
      <c r="O14" s="21">
        <v>383.21909496591593</v>
      </c>
      <c r="P14" s="21">
        <v>403.89073881449917</v>
      </c>
      <c r="Q14" s="21">
        <v>420.27345943454361</v>
      </c>
      <c r="R14" s="21">
        <v>493.61743284844732</v>
      </c>
      <c r="S14" s="21">
        <v>565.24741215018037</v>
      </c>
      <c r="T14" s="21">
        <v>583.40291404916502</v>
      </c>
      <c r="U14" s="21">
        <v>598.49871081872402</v>
      </c>
      <c r="V14" s="21">
        <v>695.26805812364307</v>
      </c>
      <c r="W14" s="21">
        <v>719.42765913371898</v>
      </c>
      <c r="X14" s="21">
        <v>721.71614444721581</v>
      </c>
      <c r="Y14" s="21">
        <v>719.61469269519864</v>
      </c>
      <c r="Z14" s="21">
        <v>686.48900339814656</v>
      </c>
      <c r="AA14" s="21">
        <v>679.57165845212876</v>
      </c>
      <c r="AB14" s="21">
        <v>679.44904426475125</v>
      </c>
      <c r="AC14" s="21">
        <v>675.42478359021391</v>
      </c>
      <c r="AD14" s="21">
        <v>645.36727554456093</v>
      </c>
      <c r="AE14" s="21">
        <v>641.42711044779855</v>
      </c>
      <c r="AF14" s="21">
        <v>626.33478800488228</v>
      </c>
      <c r="AG14" s="21">
        <v>608.98324498363195</v>
      </c>
      <c r="AH14" s="21">
        <v>513.14148919726222</v>
      </c>
      <c r="AI14" s="21">
        <v>545.57285455896738</v>
      </c>
      <c r="AJ14" s="21">
        <v>563.69171598471564</v>
      </c>
      <c r="AK14" s="21">
        <v>536.86212970296629</v>
      </c>
      <c r="AL14" s="23"/>
      <c r="AM14" s="21" t="s">
        <v>141</v>
      </c>
      <c r="AN14" s="21" t="s">
        <v>141</v>
      </c>
      <c r="AO14" s="23">
        <v>569.9336935942797</v>
      </c>
      <c r="AP14" s="23">
        <v>801.4921069501105</v>
      </c>
      <c r="AQ14" s="23">
        <f>Q14</f>
        <v>420.27345943454361</v>
      </c>
      <c r="AR14" s="23">
        <f>U14</f>
        <v>598.49871081872402</v>
      </c>
      <c r="AS14" s="23">
        <f>Y14</f>
        <v>719.61469269519864</v>
      </c>
      <c r="AT14" s="23">
        <f>AC14</f>
        <v>675.42478359021391</v>
      </c>
      <c r="AU14" s="23">
        <f>AG14</f>
        <v>608.98324498363195</v>
      </c>
      <c r="AV14" s="23">
        <f>AK14</f>
        <v>536.86212970296629</v>
      </c>
    </row>
    <row r="15" spans="1:48" s="232" customFormat="1" x14ac:dyDescent="0.2">
      <c r="A15" s="264" t="s">
        <v>137</v>
      </c>
      <c r="B15" s="265"/>
      <c r="C15" s="265"/>
      <c r="D15" s="265"/>
      <c r="E15" s="265"/>
      <c r="F15" s="265"/>
      <c r="G15" s="265"/>
      <c r="H15" s="265"/>
      <c r="I15" s="265"/>
      <c r="J15" s="266"/>
      <c r="K15" s="266"/>
      <c r="L15" s="266"/>
      <c r="M15" s="213"/>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40"/>
      <c r="AM15" s="265"/>
      <c r="AN15" s="265"/>
      <c r="AO15" s="265"/>
      <c r="AP15" s="262">
        <f t="shared" ref="AP15:AV15" si="4">AP14/AO14-1</f>
        <v>0.40629009296767582</v>
      </c>
      <c r="AQ15" s="262">
        <f t="shared" si="4"/>
        <v>-0.47563618432401622</v>
      </c>
      <c r="AR15" s="262">
        <f t="shared" si="4"/>
        <v>0.4240697274197931</v>
      </c>
      <c r="AS15" s="262">
        <f t="shared" si="4"/>
        <v>0.20236632040659286</v>
      </c>
      <c r="AT15" s="262">
        <f t="shared" si="4"/>
        <v>-6.1407736047576655E-2</v>
      </c>
      <c r="AU15" s="262">
        <f t="shared" si="4"/>
        <v>-9.837000391577666E-2</v>
      </c>
      <c r="AV15" s="262">
        <f t="shared" si="4"/>
        <v>-0.11842873490321415</v>
      </c>
    </row>
    <row r="16" spans="1:48" s="48" customFormat="1" x14ac:dyDescent="0.2">
      <c r="A16" s="238" t="s">
        <v>151</v>
      </c>
      <c r="B16" s="21" t="s">
        <v>141</v>
      </c>
      <c r="C16" s="21" t="s">
        <v>141</v>
      </c>
      <c r="D16" s="21" t="s">
        <v>141</v>
      </c>
      <c r="E16" s="21" t="s">
        <v>141</v>
      </c>
      <c r="F16" s="21" t="s">
        <v>141</v>
      </c>
      <c r="G16" s="21" t="s">
        <v>141</v>
      </c>
      <c r="H16" s="21" t="s">
        <v>141</v>
      </c>
      <c r="I16" s="23">
        <v>510.89767746110306</v>
      </c>
      <c r="J16" s="23">
        <v>534.00522888846046</v>
      </c>
      <c r="K16" s="23">
        <v>763.52958089718231</v>
      </c>
      <c r="L16" s="23">
        <v>815.61363051419028</v>
      </c>
      <c r="M16" s="23">
        <v>746.67311000753716</v>
      </c>
      <c r="N16" s="23">
        <v>373.63041334636506</v>
      </c>
      <c r="O16" s="23">
        <v>315.18434711851728</v>
      </c>
      <c r="P16" s="23">
        <v>333.91752229489117</v>
      </c>
      <c r="Q16" s="23">
        <v>357.02139295947097</v>
      </c>
      <c r="R16" s="23">
        <v>380.40575372735066</v>
      </c>
      <c r="S16" s="23">
        <v>487.10587266510026</v>
      </c>
      <c r="T16" s="23">
        <v>491.63406036590732</v>
      </c>
      <c r="U16" s="23">
        <v>512.16006171293429</v>
      </c>
      <c r="V16" s="23">
        <v>575.18273852270693</v>
      </c>
      <c r="W16" s="21">
        <v>616.26891299998681</v>
      </c>
      <c r="X16" s="21">
        <v>588.45938398233238</v>
      </c>
      <c r="Y16" s="21">
        <v>578.6332819127914</v>
      </c>
      <c r="Z16" s="23">
        <v>0</v>
      </c>
      <c r="AA16" s="23">
        <v>538.52643729338627</v>
      </c>
      <c r="AB16" s="23">
        <v>534.664017878751</v>
      </c>
      <c r="AC16" s="23">
        <v>530.70763179277583</v>
      </c>
      <c r="AD16" s="23">
        <v>0</v>
      </c>
      <c r="AE16" s="23">
        <v>472.21219078081873</v>
      </c>
      <c r="AF16" s="23">
        <v>477.17704152442252</v>
      </c>
      <c r="AG16" s="23">
        <v>474.73551200898083</v>
      </c>
      <c r="AH16" s="23">
        <v>445.36069096458579</v>
      </c>
      <c r="AI16" s="23">
        <v>457.45231443101386</v>
      </c>
      <c r="AJ16" s="23">
        <v>459.71135131104569</v>
      </c>
      <c r="AK16" s="23">
        <v>440.28061567388306</v>
      </c>
      <c r="AL16" s="23"/>
      <c r="AM16" s="21" t="s">
        <v>141</v>
      </c>
      <c r="AN16" s="21" t="s">
        <v>141</v>
      </c>
      <c r="AO16" s="23">
        <v>510.89767746110306</v>
      </c>
      <c r="AP16" s="23">
        <v>746.67311000753716</v>
      </c>
      <c r="AQ16" s="23">
        <f>Q16</f>
        <v>357.02139295947097</v>
      </c>
      <c r="AR16" s="23">
        <f>U16</f>
        <v>512.16006171293429</v>
      </c>
      <c r="AS16" s="23">
        <f>Y16</f>
        <v>578.6332819127914</v>
      </c>
      <c r="AT16" s="23">
        <f>AC16</f>
        <v>530.70763179277583</v>
      </c>
      <c r="AU16" s="23">
        <f>AG16</f>
        <v>474.73551200898083</v>
      </c>
      <c r="AV16" s="23">
        <f>AK16</f>
        <v>440.28061567388306</v>
      </c>
    </row>
    <row r="17" spans="1:48" s="232" customFormat="1" x14ac:dyDescent="0.2">
      <c r="A17" s="9" t="s">
        <v>137</v>
      </c>
      <c r="B17" s="265"/>
      <c r="C17" s="265"/>
      <c r="D17" s="265"/>
      <c r="E17" s="265"/>
      <c r="F17" s="265"/>
      <c r="G17" s="265"/>
      <c r="H17" s="265"/>
      <c r="I17" s="265"/>
      <c r="J17" s="213"/>
      <c r="K17" s="213"/>
      <c r="L17" s="213"/>
      <c r="M17" s="213"/>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40"/>
      <c r="AM17" s="265"/>
      <c r="AN17" s="265"/>
      <c r="AO17" s="265"/>
      <c r="AP17" s="262">
        <f t="shared" ref="AP17:AV17" si="5">AP16/AO16-1</f>
        <v>0.46149247285310824</v>
      </c>
      <c r="AQ17" s="262">
        <f t="shared" si="5"/>
        <v>-0.52185047489407099</v>
      </c>
      <c r="AR17" s="262">
        <f t="shared" si="5"/>
        <v>0.434536058098554</v>
      </c>
      <c r="AS17" s="262">
        <f t="shared" si="5"/>
        <v>0.12978993320473964</v>
      </c>
      <c r="AT17" s="262">
        <f t="shared" si="5"/>
        <v>-8.2825602360077633E-2</v>
      </c>
      <c r="AU17" s="262">
        <f t="shared" si="5"/>
        <v>-0.10546695851106636</v>
      </c>
      <c r="AV17" s="262">
        <f t="shared" si="5"/>
        <v>-7.2577035977974158E-2</v>
      </c>
    </row>
    <row r="18" spans="1:48" s="48" customFormat="1" x14ac:dyDescent="0.2">
      <c r="A18" s="238" t="s">
        <v>152</v>
      </c>
      <c r="B18" s="21" t="s">
        <v>141</v>
      </c>
      <c r="C18" s="21" t="s">
        <v>141</v>
      </c>
      <c r="D18" s="21" t="s">
        <v>141</v>
      </c>
      <c r="E18" s="21" t="s">
        <v>141</v>
      </c>
      <c r="F18" s="21" t="s">
        <v>141</v>
      </c>
      <c r="G18" s="21" t="s">
        <v>141</v>
      </c>
      <c r="H18" s="21" t="s">
        <v>141</v>
      </c>
      <c r="I18" s="23">
        <v>575.636566643121</v>
      </c>
      <c r="J18" s="23">
        <v>626.54347203013162</v>
      </c>
      <c r="K18" s="23">
        <v>793.45095365066561</v>
      </c>
      <c r="L18" s="23">
        <v>901.50419127791383</v>
      </c>
      <c r="M18" s="23">
        <v>796.75417403695678</v>
      </c>
      <c r="N18" s="23">
        <v>364.61946608192596</v>
      </c>
      <c r="O18" s="23">
        <v>376.56634380062951</v>
      </c>
      <c r="P18" s="23">
        <v>398.2959736878405</v>
      </c>
      <c r="Q18" s="23">
        <v>413.81444803285376</v>
      </c>
      <c r="R18" s="23">
        <v>487.14545957477822</v>
      </c>
      <c r="S18" s="23">
        <v>549.56852592237328</v>
      </c>
      <c r="T18" s="23">
        <v>575.3762711463321</v>
      </c>
      <c r="U18" s="23">
        <v>598.16972737089895</v>
      </c>
      <c r="V18" s="23">
        <v>694.71554375353037</v>
      </c>
      <c r="W18" s="265">
        <v>699.37873794552058</v>
      </c>
      <c r="X18" s="265">
        <v>714.56927448522072</v>
      </c>
      <c r="Y18" s="265">
        <v>713.18895805174361</v>
      </c>
      <c r="Z18" s="23">
        <v>675.41174459214494</v>
      </c>
      <c r="AA18" s="265">
        <v>668.2092964907232</v>
      </c>
      <c r="AB18" s="265">
        <v>665.34634409834371</v>
      </c>
      <c r="AC18" s="265">
        <v>660.20585253636239</v>
      </c>
      <c r="AD18" s="265">
        <v>623.39365646580734</v>
      </c>
      <c r="AE18" s="265">
        <v>619.36760271370042</v>
      </c>
      <c r="AF18" s="265">
        <v>612.65836445768468</v>
      </c>
      <c r="AG18" s="265">
        <v>601.31574633729679</v>
      </c>
      <c r="AH18" s="265">
        <v>512.7870633988299</v>
      </c>
      <c r="AI18" s="265">
        <v>547.66676241475045</v>
      </c>
      <c r="AJ18" s="265">
        <v>566.01469802591407</v>
      </c>
      <c r="AK18" s="265">
        <v>538.0198986951001</v>
      </c>
      <c r="AL18" s="23"/>
      <c r="AM18" s="21" t="s">
        <v>141</v>
      </c>
      <c r="AN18" s="21" t="s">
        <v>141</v>
      </c>
      <c r="AO18" s="23">
        <v>575.636566643121</v>
      </c>
      <c r="AP18" s="23">
        <v>796.75417403695678</v>
      </c>
      <c r="AQ18" s="23">
        <f>Q18</f>
        <v>413.81444803285376</v>
      </c>
      <c r="AR18" s="23">
        <f>U18</f>
        <v>598.16972737089895</v>
      </c>
      <c r="AS18" s="23">
        <f>Y18</f>
        <v>713.18895805174361</v>
      </c>
      <c r="AT18" s="23">
        <f>AC18</f>
        <v>660.20585253636239</v>
      </c>
      <c r="AU18" s="23">
        <f>AG18</f>
        <v>601.31574633729679</v>
      </c>
      <c r="AV18" s="23">
        <f>AK18</f>
        <v>538.0198986951001</v>
      </c>
    </row>
    <row r="19" spans="1:48" s="232" customFormat="1" x14ac:dyDescent="0.2">
      <c r="A19" s="9" t="s">
        <v>137</v>
      </c>
      <c r="B19" s="265"/>
      <c r="C19" s="265"/>
      <c r="D19" s="265"/>
      <c r="E19" s="265"/>
      <c r="F19" s="265"/>
      <c r="G19" s="265"/>
      <c r="H19" s="265"/>
      <c r="I19" s="265"/>
      <c r="J19" s="213"/>
      <c r="K19" s="213"/>
      <c r="L19" s="213"/>
      <c r="M19" s="213"/>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40"/>
      <c r="AM19" s="265"/>
      <c r="AN19" s="265"/>
      <c r="AO19" s="265"/>
      <c r="AP19" s="262">
        <f t="shared" ref="AP19:AV19" si="6">AP18/AO18-1</f>
        <v>0.38412710416105766</v>
      </c>
      <c r="AQ19" s="262">
        <f t="shared" si="6"/>
        <v>-0.48062468761706256</v>
      </c>
      <c r="AR19" s="262">
        <f t="shared" si="6"/>
        <v>0.44550227816939048</v>
      </c>
      <c r="AS19" s="262">
        <f t="shared" si="6"/>
        <v>0.19228527526189287</v>
      </c>
      <c r="AT19" s="262">
        <f t="shared" si="6"/>
        <v>-7.4290417591598712E-2</v>
      </c>
      <c r="AU19" s="262">
        <f t="shared" si="6"/>
        <v>-8.9199612473629286E-2</v>
      </c>
      <c r="AV19" s="262">
        <f t="shared" si="6"/>
        <v>-0.10526224870667544</v>
      </c>
    </row>
    <row r="20" spans="1:48" s="48" customFormat="1" x14ac:dyDescent="0.2">
      <c r="A20" s="238" t="s">
        <v>153</v>
      </c>
      <c r="B20" s="21" t="s">
        <v>141</v>
      </c>
      <c r="C20" s="21" t="s">
        <v>141</v>
      </c>
      <c r="D20" s="21" t="s">
        <v>141</v>
      </c>
      <c r="E20" s="21" t="s">
        <v>141</v>
      </c>
      <c r="F20" s="21" t="s">
        <v>141</v>
      </c>
      <c r="G20" s="21" t="s">
        <v>141</v>
      </c>
      <c r="H20" s="21" t="s">
        <v>141</v>
      </c>
      <c r="I20" s="23">
        <v>632.74518099646002</v>
      </c>
      <c r="J20" s="23">
        <v>850.16065166704095</v>
      </c>
      <c r="K20" s="23">
        <v>1066.5981801635317</v>
      </c>
      <c r="L20" s="23">
        <v>1165.0600395968536</v>
      </c>
      <c r="M20" s="23">
        <v>1044.4195178152115</v>
      </c>
      <c r="N20" s="23">
        <v>505.01549897397399</v>
      </c>
      <c r="O20" s="23">
        <v>506.4568889748773</v>
      </c>
      <c r="P20" s="23">
        <v>523.49138984501337</v>
      </c>
      <c r="Q20" s="23">
        <v>539.28582542795687</v>
      </c>
      <c r="R20" s="23">
        <v>584.99159271720919</v>
      </c>
      <c r="S20" s="23">
        <v>692.2590301863313</v>
      </c>
      <c r="T20" s="23">
        <v>715.51566691538574</v>
      </c>
      <c r="U20" s="23">
        <v>695.70790148946276</v>
      </c>
      <c r="V20" s="23">
        <v>819.01413897660939</v>
      </c>
      <c r="W20" s="23">
        <v>829.50695451964475</v>
      </c>
      <c r="X20" s="23">
        <v>821.98360477792357</v>
      </c>
      <c r="Y20" s="23">
        <v>807.93820499501578</v>
      </c>
      <c r="Z20" s="23">
        <v>744.12278337705618</v>
      </c>
      <c r="AA20" s="23">
        <v>739.59776739361223</v>
      </c>
      <c r="AB20" s="23">
        <v>751.15540104670458</v>
      </c>
      <c r="AC20" s="23">
        <v>752.31757960402649</v>
      </c>
      <c r="AD20" s="23">
        <v>757.38162719189893</v>
      </c>
      <c r="AE20" s="23">
        <v>754.00118437463595</v>
      </c>
      <c r="AF20" s="23">
        <v>721.6222558863891</v>
      </c>
      <c r="AG20" s="23">
        <v>703.8900688704706</v>
      </c>
      <c r="AH20" s="23">
        <v>590.87990781085273</v>
      </c>
      <c r="AI20" s="23">
        <v>623.25865230657575</v>
      </c>
      <c r="AJ20" s="23">
        <v>647.8647134578041</v>
      </c>
      <c r="AK20" s="23">
        <v>612.55407074709262</v>
      </c>
      <c r="AL20" s="242"/>
      <c r="AM20" s="21" t="s">
        <v>141</v>
      </c>
      <c r="AN20" s="21" t="s">
        <v>141</v>
      </c>
      <c r="AO20" s="23">
        <v>632.74518099646002</v>
      </c>
      <c r="AP20" s="23">
        <v>1044.4195178152115</v>
      </c>
      <c r="AQ20" s="23">
        <f>Q20</f>
        <v>539.28582542795687</v>
      </c>
      <c r="AR20" s="23">
        <f>U20</f>
        <v>695.70790148946276</v>
      </c>
      <c r="AS20" s="23">
        <f>Y20</f>
        <v>807.93820499501578</v>
      </c>
      <c r="AT20" s="23">
        <f>AC20</f>
        <v>752.31757960402649</v>
      </c>
      <c r="AU20" s="23">
        <f>AG20</f>
        <v>703.8900688704706</v>
      </c>
      <c r="AV20" s="23">
        <f>AK20</f>
        <v>612.55407074709262</v>
      </c>
    </row>
    <row r="21" spans="1:48" s="232" customFormat="1" x14ac:dyDescent="0.2">
      <c r="A21" s="264" t="s">
        <v>137</v>
      </c>
      <c r="B21" s="265"/>
      <c r="C21" s="265"/>
      <c r="D21" s="265"/>
      <c r="E21" s="265"/>
      <c r="F21" s="265"/>
      <c r="G21" s="265"/>
      <c r="H21" s="265"/>
      <c r="I21" s="265"/>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35"/>
      <c r="AM21" s="265"/>
      <c r="AN21" s="265"/>
      <c r="AO21" s="265"/>
      <c r="AP21" s="262">
        <f t="shared" ref="AP21:AV21" si="7">AP20/AO20-1</f>
        <v>0.65061631314273827</v>
      </c>
      <c r="AQ21" s="262">
        <f t="shared" si="7"/>
        <v>-0.48365018440475716</v>
      </c>
      <c r="AR21" s="262">
        <f t="shared" si="7"/>
        <v>0.2900541209985914</v>
      </c>
      <c r="AS21" s="262">
        <f t="shared" si="7"/>
        <v>0.16131813835271336</v>
      </c>
      <c r="AT21" s="262">
        <f t="shared" si="7"/>
        <v>-6.8842672678577466E-2</v>
      </c>
      <c r="AU21" s="262">
        <f t="shared" si="7"/>
        <v>-6.4371100777739554E-2</v>
      </c>
      <c r="AV21" s="262">
        <f t="shared" si="7"/>
        <v>-0.12975889583148181</v>
      </c>
    </row>
    <row r="22" spans="1:48" x14ac:dyDescent="0.2">
      <c r="A22" s="18"/>
      <c r="B22" s="27"/>
      <c r="C22" s="27"/>
      <c r="D22" s="27"/>
      <c r="E22" s="27"/>
      <c r="F22" s="27"/>
      <c r="G22" s="27"/>
      <c r="H22" s="28"/>
      <c r="I22" s="28"/>
      <c r="J22" s="26"/>
      <c r="K22" s="26"/>
      <c r="L22" s="44"/>
      <c r="M22" s="44"/>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6"/>
      <c r="AM22" s="19"/>
      <c r="AN22" s="19"/>
      <c r="AO22" s="19"/>
      <c r="AP22" s="19"/>
      <c r="AQ22" s="19"/>
      <c r="AR22" s="19"/>
      <c r="AS22" s="19"/>
      <c r="AT22" s="19"/>
      <c r="AU22" s="19"/>
      <c r="AV22" s="19"/>
    </row>
    <row r="23" spans="1:48" x14ac:dyDescent="0.2">
      <c r="A23" s="2" t="s">
        <v>1</v>
      </c>
      <c r="B23" s="3" t="s">
        <v>282</v>
      </c>
      <c r="C23" s="4" t="s">
        <v>283</v>
      </c>
      <c r="D23" s="4" t="s">
        <v>284</v>
      </c>
      <c r="E23" s="4" t="s">
        <v>22</v>
      </c>
      <c r="F23" s="3" t="s">
        <v>285</v>
      </c>
      <c r="G23" s="3" t="s">
        <v>286</v>
      </c>
      <c r="H23" s="4" t="s">
        <v>287</v>
      </c>
      <c r="I23" s="4" t="s">
        <v>288</v>
      </c>
      <c r="J23" s="5" t="s">
        <v>289</v>
      </c>
      <c r="K23" s="3" t="s">
        <v>290</v>
      </c>
      <c r="L23" s="3" t="s">
        <v>291</v>
      </c>
      <c r="M23" s="3" t="s">
        <v>292</v>
      </c>
      <c r="N23" s="4" t="s">
        <v>279</v>
      </c>
      <c r="O23" s="4" t="s">
        <v>280</v>
      </c>
      <c r="P23" s="4" t="s">
        <v>281</v>
      </c>
      <c r="Q23" s="4" t="s">
        <v>183</v>
      </c>
      <c r="R23" s="4" t="s">
        <v>187</v>
      </c>
      <c r="S23" s="4" t="s">
        <v>200</v>
      </c>
      <c r="T23" s="4" t="s">
        <v>203</v>
      </c>
      <c r="U23" s="4" t="s">
        <v>206</v>
      </c>
      <c r="V23" s="4" t="s">
        <v>278</v>
      </c>
      <c r="W23" s="4" t="s">
        <v>211</v>
      </c>
      <c r="X23" s="4" t="s">
        <v>213</v>
      </c>
      <c r="Y23" s="4" t="s">
        <v>215</v>
      </c>
      <c r="Z23" s="4" t="s">
        <v>272</v>
      </c>
      <c r="AA23" s="4" t="s">
        <v>227</v>
      </c>
      <c r="AB23" s="4" t="s">
        <v>237</v>
      </c>
      <c r="AC23" s="4" t="s">
        <v>239</v>
      </c>
      <c r="AD23" s="4" t="s">
        <v>273</v>
      </c>
      <c r="AE23" s="4" t="s">
        <v>274</v>
      </c>
      <c r="AF23" s="4" t="s">
        <v>248</v>
      </c>
      <c r="AG23" s="4" t="s">
        <v>255</v>
      </c>
      <c r="AH23" s="4" t="s">
        <v>275</v>
      </c>
      <c r="AI23" s="4" t="s">
        <v>276</v>
      </c>
      <c r="AJ23" s="4" t="s">
        <v>277</v>
      </c>
      <c r="AK23" s="4" t="s">
        <v>295</v>
      </c>
      <c r="AL23" s="6"/>
      <c r="AM23" s="4">
        <v>2005</v>
      </c>
      <c r="AN23" s="4">
        <v>2006</v>
      </c>
      <c r="AO23" s="4">
        <v>2007</v>
      </c>
      <c r="AP23" s="4">
        <v>2008</v>
      </c>
      <c r="AQ23" s="4">
        <v>2009</v>
      </c>
      <c r="AR23" s="4">
        <v>2010</v>
      </c>
      <c r="AS23" s="4">
        <v>2011</v>
      </c>
      <c r="AT23" s="4">
        <v>2012</v>
      </c>
      <c r="AU23" s="4">
        <v>2013</v>
      </c>
      <c r="AV23" s="4">
        <v>2014</v>
      </c>
    </row>
    <row r="24" spans="1:48" x14ac:dyDescent="0.2">
      <c r="A24" s="7" t="s">
        <v>26</v>
      </c>
      <c r="B24" s="21" t="s">
        <v>141</v>
      </c>
      <c r="C24" s="21" t="s">
        <v>141</v>
      </c>
      <c r="D24" s="21" t="s">
        <v>141</v>
      </c>
      <c r="E24" s="21" t="s">
        <v>141</v>
      </c>
      <c r="F24" s="21" t="s">
        <v>141</v>
      </c>
      <c r="G24" s="21" t="s">
        <v>141</v>
      </c>
      <c r="H24" s="21" t="s">
        <v>141</v>
      </c>
      <c r="I24" s="21">
        <v>62.262</v>
      </c>
      <c r="J24" s="23">
        <v>348.46</v>
      </c>
      <c r="K24" s="23">
        <v>756.82799999999997</v>
      </c>
      <c r="L24" s="23">
        <v>1119.8989999999999</v>
      </c>
      <c r="M24" s="23">
        <v>1178.1849999999999</v>
      </c>
      <c r="N24" s="21">
        <v>102.46599999999999</v>
      </c>
      <c r="O24" s="21">
        <v>232.54</v>
      </c>
      <c r="P24" s="21">
        <v>414.26299999999998</v>
      </c>
      <c r="Q24" s="21">
        <v>572.476</v>
      </c>
      <c r="R24" s="21">
        <v>162.02699999999999</v>
      </c>
      <c r="S24" s="21">
        <v>370.56599999999997</v>
      </c>
      <c r="T24" s="21">
        <v>629.06100000000004</v>
      </c>
      <c r="U24" s="21">
        <v>864.78599999999994</v>
      </c>
      <c r="V24" s="21">
        <v>259.58999999999997</v>
      </c>
      <c r="W24" s="21">
        <v>595.78300000000002</v>
      </c>
      <c r="X24" s="21">
        <v>894.80700000000002</v>
      </c>
      <c r="Y24" s="21">
        <v>1154.202</v>
      </c>
      <c r="Z24" s="21">
        <v>275.04300000000001</v>
      </c>
      <c r="AA24" s="21">
        <v>604.47900000000004</v>
      </c>
      <c r="AB24" s="21">
        <v>918.07399999999996</v>
      </c>
      <c r="AC24" s="21">
        <v>1198.6600000000001</v>
      </c>
      <c r="AD24" s="21">
        <v>288.44400000000002</v>
      </c>
      <c r="AE24" s="21">
        <v>602.38400000000001</v>
      </c>
      <c r="AF24" s="21">
        <v>957.12199999999996</v>
      </c>
      <c r="AG24" s="21">
        <v>1328.1780000000001</v>
      </c>
      <c r="AH24" s="21">
        <v>337.07799999999997</v>
      </c>
      <c r="AI24" s="21">
        <v>766.96799999999996</v>
      </c>
      <c r="AJ24" s="21">
        <v>1144.71</v>
      </c>
      <c r="AK24" s="21">
        <v>1446.944</v>
      </c>
      <c r="AL24" s="23"/>
      <c r="AM24" s="21" t="s">
        <v>141</v>
      </c>
      <c r="AN24" s="21" t="s">
        <v>141</v>
      </c>
      <c r="AO24" s="21">
        <f>I24</f>
        <v>62.262</v>
      </c>
      <c r="AP24" s="23">
        <f>M24</f>
        <v>1178.1849999999999</v>
      </c>
      <c r="AQ24" s="21">
        <f>Q24</f>
        <v>572.476</v>
      </c>
      <c r="AR24" s="21">
        <f>U24</f>
        <v>864.78599999999994</v>
      </c>
      <c r="AS24" s="21">
        <f>Y24</f>
        <v>1154.202</v>
      </c>
      <c r="AT24" s="21">
        <f>AC24</f>
        <v>1198.6600000000001</v>
      </c>
      <c r="AU24" s="21">
        <f>AG24</f>
        <v>1328.1780000000001</v>
      </c>
      <c r="AV24" s="21">
        <f>AK24</f>
        <v>1446.944</v>
      </c>
    </row>
    <row r="25" spans="1:48" x14ac:dyDescent="0.2">
      <c r="A25" s="9" t="s">
        <v>137</v>
      </c>
      <c r="B25" s="267"/>
      <c r="C25" s="267"/>
      <c r="D25" s="267"/>
      <c r="E25" s="267"/>
      <c r="F25" s="267"/>
      <c r="G25" s="267"/>
      <c r="H25" s="21"/>
      <c r="I25" s="265"/>
      <c r="J25" s="212"/>
      <c r="K25" s="212"/>
      <c r="L25" s="213"/>
      <c r="M25" s="213"/>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40"/>
      <c r="AM25" s="265"/>
      <c r="AN25" s="262"/>
      <c r="AO25" s="265"/>
      <c r="AP25" s="262"/>
      <c r="AQ25" s="262">
        <f t="shared" ref="AQ25:AV25" si="8">AQ24/AP24-1</f>
        <v>-0.51410347271438694</v>
      </c>
      <c r="AR25" s="262">
        <f t="shared" si="8"/>
        <v>0.51060655817885814</v>
      </c>
      <c r="AS25" s="262">
        <f t="shared" si="8"/>
        <v>0.33466776751705063</v>
      </c>
      <c r="AT25" s="262">
        <f t="shared" si="8"/>
        <v>3.8518387595932069E-2</v>
      </c>
      <c r="AU25" s="262">
        <f t="shared" si="8"/>
        <v>0.10805232509635765</v>
      </c>
      <c r="AV25" s="262">
        <f t="shared" si="8"/>
        <v>8.9420243370993857E-2</v>
      </c>
    </row>
    <row r="26" spans="1:48" x14ac:dyDescent="0.2">
      <c r="A26" s="18" t="s">
        <v>138</v>
      </c>
      <c r="B26" s="21" t="s">
        <v>141</v>
      </c>
      <c r="C26" s="21" t="s">
        <v>141</v>
      </c>
      <c r="D26" s="21" t="s">
        <v>141</v>
      </c>
      <c r="E26" s="21" t="s">
        <v>141</v>
      </c>
      <c r="F26" s="21" t="s">
        <v>141</v>
      </c>
      <c r="G26" s="21" t="s">
        <v>141</v>
      </c>
      <c r="H26" s="21" t="s">
        <v>141</v>
      </c>
      <c r="I26" s="21">
        <v>4.1769999999999996</v>
      </c>
      <c r="J26" s="23" t="s">
        <v>141</v>
      </c>
      <c r="K26" s="23" t="s">
        <v>141</v>
      </c>
      <c r="L26" s="23" t="s">
        <v>141</v>
      </c>
      <c r="M26" s="23">
        <v>81.278999999999996</v>
      </c>
      <c r="N26" s="23" t="s">
        <v>139</v>
      </c>
      <c r="O26" s="23" t="s">
        <v>139</v>
      </c>
      <c r="P26" s="23" t="s">
        <v>139</v>
      </c>
      <c r="Q26" s="21">
        <v>72.504000000000005</v>
      </c>
      <c r="R26" s="23" t="s">
        <v>139</v>
      </c>
      <c r="S26" s="23" t="s">
        <v>139</v>
      </c>
      <c r="T26" s="23" t="s">
        <v>139</v>
      </c>
      <c r="U26" s="23">
        <v>74.299000000000007</v>
      </c>
      <c r="V26" s="23" t="s">
        <v>139</v>
      </c>
      <c r="W26" s="23" t="s">
        <v>139</v>
      </c>
      <c r="X26" s="23" t="s">
        <v>139</v>
      </c>
      <c r="Y26" s="23">
        <v>89.063000000000002</v>
      </c>
      <c r="Z26" s="23" t="s">
        <v>139</v>
      </c>
      <c r="AA26" s="23" t="s">
        <v>139</v>
      </c>
      <c r="AB26" s="23" t="s">
        <v>139</v>
      </c>
      <c r="AC26" s="23">
        <v>84.787000000000006</v>
      </c>
      <c r="AD26" s="23" t="s">
        <v>139</v>
      </c>
      <c r="AE26" s="23" t="s">
        <v>139</v>
      </c>
      <c r="AF26" s="23" t="s">
        <v>139</v>
      </c>
      <c r="AG26" s="23">
        <v>87.957999999999998</v>
      </c>
      <c r="AH26" s="23" t="s">
        <v>139</v>
      </c>
      <c r="AI26" s="23" t="s">
        <v>139</v>
      </c>
      <c r="AJ26" s="23" t="s">
        <v>139</v>
      </c>
      <c r="AK26" s="23">
        <v>106.601</v>
      </c>
      <c r="AL26" s="23"/>
      <c r="AM26" s="21" t="s">
        <v>141</v>
      </c>
      <c r="AN26" s="21" t="s">
        <v>141</v>
      </c>
      <c r="AO26" s="297">
        <f>I26</f>
        <v>4.1769999999999996</v>
      </c>
      <c r="AP26" s="297">
        <f>M26</f>
        <v>81.278999999999996</v>
      </c>
      <c r="AQ26" s="297">
        <f>Q26</f>
        <v>72.504000000000005</v>
      </c>
      <c r="AR26" s="297">
        <f>U26</f>
        <v>74.299000000000007</v>
      </c>
      <c r="AS26" s="297">
        <f>Y26</f>
        <v>89.063000000000002</v>
      </c>
      <c r="AT26" s="297">
        <f>AC26</f>
        <v>84.787000000000006</v>
      </c>
      <c r="AU26" s="297">
        <f>AG26</f>
        <v>87.957999999999998</v>
      </c>
      <c r="AV26" s="297">
        <f>AK26</f>
        <v>106.601</v>
      </c>
    </row>
    <row r="27" spans="1:48" x14ac:dyDescent="0.2">
      <c r="A27" s="9" t="s">
        <v>137</v>
      </c>
      <c r="B27" s="267"/>
      <c r="C27" s="267"/>
      <c r="D27" s="267"/>
      <c r="E27" s="267"/>
      <c r="F27" s="267"/>
      <c r="G27" s="267"/>
      <c r="H27" s="267"/>
      <c r="I27" s="267"/>
      <c r="J27" s="212"/>
      <c r="K27" s="212"/>
      <c r="L27" s="213"/>
      <c r="M27" s="213"/>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35"/>
      <c r="AM27" s="267"/>
      <c r="AN27" s="21"/>
      <c r="AO27" s="267"/>
      <c r="AP27" s="262"/>
      <c r="AQ27" s="262">
        <f t="shared" ref="AQ27:AV27" si="9">AQ26/AP26-1</f>
        <v>-0.10796146606134416</v>
      </c>
      <c r="AR27" s="262">
        <f t="shared" si="9"/>
        <v>2.4757254772150628E-2</v>
      </c>
      <c r="AS27" s="262">
        <f t="shared" si="9"/>
        <v>0.19871061521689382</v>
      </c>
      <c r="AT27" s="262">
        <f t="shared" si="9"/>
        <v>-4.8010958534969617E-2</v>
      </c>
      <c r="AU27" s="262">
        <f t="shared" si="9"/>
        <v>3.7399601353981016E-2</v>
      </c>
      <c r="AV27" s="262">
        <f t="shared" si="9"/>
        <v>0.21195343231997099</v>
      </c>
    </row>
    <row r="28" spans="1:48" x14ac:dyDescent="0.2">
      <c r="A28" s="18" t="s">
        <v>3</v>
      </c>
      <c r="B28" s="21" t="s">
        <v>141</v>
      </c>
      <c r="C28" s="21" t="s">
        <v>141</v>
      </c>
      <c r="D28" s="21" t="s">
        <v>141</v>
      </c>
      <c r="E28" s="21" t="s">
        <v>141</v>
      </c>
      <c r="F28" s="21" t="s">
        <v>141</v>
      </c>
      <c r="G28" s="21" t="s">
        <v>141</v>
      </c>
      <c r="H28" s="21" t="s">
        <v>141</v>
      </c>
      <c r="I28" s="297">
        <v>1.5549999999999999</v>
      </c>
      <c r="J28" s="297">
        <v>36.976999999999997</v>
      </c>
      <c r="K28" s="297">
        <v>224.06200000000001</v>
      </c>
      <c r="L28" s="297">
        <v>351.13400000000001</v>
      </c>
      <c r="M28" s="297">
        <v>177.42099999999999</v>
      </c>
      <c r="N28" s="297">
        <v>-25.625</v>
      </c>
      <c r="O28" s="297">
        <v>-55.17</v>
      </c>
      <c r="P28" s="297">
        <v>-60.908999999999999</v>
      </c>
      <c r="Q28" s="297">
        <v>-141.75299999999999</v>
      </c>
      <c r="R28" s="297">
        <v>-23.948</v>
      </c>
      <c r="S28" s="297">
        <v>-11.234</v>
      </c>
      <c r="T28" s="297">
        <v>30.841000000000001</v>
      </c>
      <c r="U28" s="297">
        <v>-27.811</v>
      </c>
      <c r="V28" s="297">
        <v>6.5529999999999999</v>
      </c>
      <c r="W28" s="297">
        <v>10.573</v>
      </c>
      <c r="X28" s="297">
        <v>10.029999999999999</v>
      </c>
      <c r="Y28" s="297">
        <v>-54.713999999999999</v>
      </c>
      <c r="Z28" s="297">
        <v>7.1689999999999996</v>
      </c>
      <c r="AA28" s="297">
        <v>36.070999999999998</v>
      </c>
      <c r="AB28" s="297">
        <v>76.085999999999999</v>
      </c>
      <c r="AC28" s="297">
        <v>85.695999999999998</v>
      </c>
      <c r="AD28" s="297">
        <v>-1.748</v>
      </c>
      <c r="AE28" s="297">
        <v>0.63100000000000001</v>
      </c>
      <c r="AF28" s="297">
        <v>18.681999999999999</v>
      </c>
      <c r="AG28" s="297">
        <v>6.8070000000000004</v>
      </c>
      <c r="AH28" s="297">
        <v>-21.632000000000001</v>
      </c>
      <c r="AI28" s="297">
        <v>1.476</v>
      </c>
      <c r="AJ28" s="297">
        <v>50.637</v>
      </c>
      <c r="AK28" s="297">
        <v>-71.265000000000001</v>
      </c>
      <c r="AL28" s="30"/>
      <c r="AM28" s="21" t="s">
        <v>141</v>
      </c>
      <c r="AN28" s="21" t="s">
        <v>141</v>
      </c>
      <c r="AO28" s="297">
        <f>I28</f>
        <v>1.5549999999999999</v>
      </c>
      <c r="AP28" s="297">
        <f>M28</f>
        <v>177.42099999999999</v>
      </c>
      <c r="AQ28" s="297">
        <f>Q28</f>
        <v>-141.75299999999999</v>
      </c>
      <c r="AR28" s="297">
        <f>U28</f>
        <v>-27.811</v>
      </c>
      <c r="AS28" s="297">
        <f>Y28</f>
        <v>-54.713999999999999</v>
      </c>
      <c r="AT28" s="297">
        <f>AC28</f>
        <v>85.695999999999998</v>
      </c>
      <c r="AU28" s="297">
        <f>AG28</f>
        <v>6.8070000000000004</v>
      </c>
      <c r="AV28" s="297">
        <f>AK28</f>
        <v>-71.265000000000001</v>
      </c>
    </row>
    <row r="29" spans="1:48" x14ac:dyDescent="0.2">
      <c r="A29" s="9" t="s">
        <v>137</v>
      </c>
      <c r="B29" s="267"/>
      <c r="C29" s="267"/>
      <c r="D29" s="267"/>
      <c r="E29" s="267"/>
      <c r="F29" s="267"/>
      <c r="G29" s="267"/>
      <c r="H29" s="267"/>
      <c r="I29" s="267"/>
      <c r="J29" s="268"/>
      <c r="K29" s="268"/>
      <c r="L29" s="266"/>
      <c r="M29" s="266"/>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35"/>
      <c r="AM29" s="267"/>
      <c r="AN29" s="262"/>
      <c r="AO29" s="262"/>
      <c r="AP29" s="262"/>
      <c r="AQ29" s="262">
        <f t="shared" ref="AQ29:AV29" si="10">AQ28/AP28-1</f>
        <v>-1.7989640459697553</v>
      </c>
      <c r="AR29" s="262">
        <f t="shared" si="10"/>
        <v>-0.80380662137661985</v>
      </c>
      <c r="AS29" s="262">
        <f t="shared" si="10"/>
        <v>0.96735104814641693</v>
      </c>
      <c r="AT29" s="262">
        <f t="shared" si="10"/>
        <v>-2.566253609679424</v>
      </c>
      <c r="AU29" s="262">
        <f t="shared" si="10"/>
        <v>-0.92056805451829726</v>
      </c>
      <c r="AV29" s="262">
        <f t="shared" si="10"/>
        <v>-11.469369766416923</v>
      </c>
    </row>
    <row r="30" spans="1:48" x14ac:dyDescent="0.2">
      <c r="A30" s="18" t="s">
        <v>2</v>
      </c>
      <c r="B30" s="21" t="s">
        <v>141</v>
      </c>
      <c r="C30" s="21" t="s">
        <v>141</v>
      </c>
      <c r="D30" s="21" t="s">
        <v>141</v>
      </c>
      <c r="E30" s="21" t="s">
        <v>141</v>
      </c>
      <c r="F30" s="21" t="s">
        <v>141</v>
      </c>
      <c r="G30" s="21" t="s">
        <v>141</v>
      </c>
      <c r="H30" s="21" t="s">
        <v>141</v>
      </c>
      <c r="I30" s="297">
        <v>5.7320000000000002</v>
      </c>
      <c r="J30" s="297">
        <v>36.976999999999997</v>
      </c>
      <c r="K30" s="297">
        <v>224.06200000000001</v>
      </c>
      <c r="L30" s="297">
        <v>351.13400000000001</v>
      </c>
      <c r="M30" s="297">
        <v>387.089</v>
      </c>
      <c r="N30" s="297">
        <v>0</v>
      </c>
      <c r="O30" s="297">
        <v>0</v>
      </c>
      <c r="P30" s="297">
        <v>0</v>
      </c>
      <c r="Q30" s="297">
        <v>-25.587</v>
      </c>
      <c r="R30" s="297">
        <v>0</v>
      </c>
      <c r="S30" s="297">
        <v>0</v>
      </c>
      <c r="T30" s="297">
        <v>0</v>
      </c>
      <c r="U30" s="297">
        <v>104.667</v>
      </c>
      <c r="V30" s="297">
        <v>0</v>
      </c>
      <c r="W30" s="297">
        <v>0</v>
      </c>
      <c r="X30" s="297">
        <v>0</v>
      </c>
      <c r="Y30" s="297">
        <v>34.348642393579908</v>
      </c>
      <c r="Z30" s="297">
        <v>28.835999999999999</v>
      </c>
      <c r="AA30" s="297">
        <v>78.811999999999998</v>
      </c>
      <c r="AB30" s="297">
        <v>139.31800000000001</v>
      </c>
      <c r="AC30" s="297">
        <v>170.483</v>
      </c>
      <c r="AD30" s="297">
        <v>19.681000000000001</v>
      </c>
      <c r="AE30" s="297">
        <v>43.029000000000003</v>
      </c>
      <c r="AF30" s="297">
        <v>82.652000000000001</v>
      </c>
      <c r="AG30" s="297">
        <v>94.765000000000001</v>
      </c>
      <c r="AH30" s="297">
        <v>7.1059999999999999</v>
      </c>
      <c r="AI30" s="297">
        <v>58.970999999999997</v>
      </c>
      <c r="AJ30" s="297">
        <v>135.857</v>
      </c>
      <c r="AK30" s="297">
        <v>149.09299999999999</v>
      </c>
      <c r="AL30" s="30"/>
      <c r="AM30" s="21"/>
      <c r="AN30" s="21"/>
      <c r="AO30" s="297">
        <f>I30</f>
        <v>5.7320000000000002</v>
      </c>
      <c r="AP30" s="297">
        <f>M30</f>
        <v>387.089</v>
      </c>
      <c r="AQ30" s="297">
        <f>Q30</f>
        <v>-25.587</v>
      </c>
      <c r="AR30" s="297">
        <f>U30</f>
        <v>104.667</v>
      </c>
      <c r="AS30" s="297">
        <f>Y30</f>
        <v>34.348642393579908</v>
      </c>
      <c r="AT30" s="297">
        <f>AC30</f>
        <v>170.483</v>
      </c>
      <c r="AU30" s="297">
        <f>AG30</f>
        <v>94.765000000000001</v>
      </c>
      <c r="AV30" s="297">
        <f>AK30</f>
        <v>149.09299999999999</v>
      </c>
    </row>
    <row r="31" spans="1:48" x14ac:dyDescent="0.2">
      <c r="A31" s="9" t="s">
        <v>137</v>
      </c>
      <c r="B31" s="267"/>
      <c r="C31" s="267"/>
      <c r="D31" s="267"/>
      <c r="E31" s="267"/>
      <c r="F31" s="267"/>
      <c r="G31" s="267"/>
      <c r="H31" s="267"/>
      <c r="I31" s="267"/>
      <c r="J31" s="268"/>
      <c r="K31" s="268"/>
      <c r="L31" s="266"/>
      <c r="M31" s="266"/>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35"/>
      <c r="AM31" s="267"/>
      <c r="AN31" s="262"/>
      <c r="AO31" s="262"/>
      <c r="AP31" s="262"/>
      <c r="AQ31" s="262">
        <f t="shared" ref="AQ31:AV31" si="11">AQ30/AP30-1</f>
        <v>-1.0661010775299737</v>
      </c>
      <c r="AR31" s="262">
        <f t="shared" si="11"/>
        <v>-5.0906319615429707</v>
      </c>
      <c r="AS31" s="262">
        <f t="shared" si="11"/>
        <v>-0.6718293025157891</v>
      </c>
      <c r="AT31" s="262">
        <f t="shared" si="11"/>
        <v>3.9633111564218595</v>
      </c>
      <c r="AU31" s="262">
        <f t="shared" si="11"/>
        <v>-0.44413812520896512</v>
      </c>
      <c r="AV31" s="262">
        <f t="shared" si="11"/>
        <v>0.57329182715137428</v>
      </c>
    </row>
    <row r="32" spans="1:48" x14ac:dyDescent="0.2">
      <c r="A32" s="328" t="s">
        <v>267</v>
      </c>
      <c r="B32" s="21" t="s">
        <v>141</v>
      </c>
      <c r="C32" s="21" t="s">
        <v>141</v>
      </c>
      <c r="D32" s="21" t="s">
        <v>141</v>
      </c>
      <c r="E32" s="21" t="s">
        <v>141</v>
      </c>
      <c r="F32" s="21" t="s">
        <v>141</v>
      </c>
      <c r="G32" s="21" t="s">
        <v>141</v>
      </c>
      <c r="H32" s="21" t="s">
        <v>141</v>
      </c>
      <c r="I32" s="297">
        <v>-31.751999999999999</v>
      </c>
      <c r="J32" s="297">
        <v>36.976999999999997</v>
      </c>
      <c r="K32" s="297">
        <v>224.06200000000001</v>
      </c>
      <c r="L32" s="297">
        <v>351.13400000000001</v>
      </c>
      <c r="M32" s="297">
        <v>-206.81299999999999</v>
      </c>
      <c r="N32" s="297">
        <v>0</v>
      </c>
      <c r="O32" s="297">
        <v>0</v>
      </c>
      <c r="P32" s="297">
        <v>0</v>
      </c>
      <c r="Q32" s="297">
        <v>-400.63799999999998</v>
      </c>
      <c r="R32" s="297">
        <v>0</v>
      </c>
      <c r="S32" s="297">
        <v>0</v>
      </c>
      <c r="T32" s="297">
        <v>0</v>
      </c>
      <c r="U32" s="297">
        <v>-244.89699999999999</v>
      </c>
      <c r="V32" s="297">
        <v>0</v>
      </c>
      <c r="W32" s="297">
        <v>0</v>
      </c>
      <c r="X32" s="297">
        <v>0</v>
      </c>
      <c r="Y32" s="297">
        <v>-317.33347793640678</v>
      </c>
      <c r="Z32" s="297">
        <v>-22.573</v>
      </c>
      <c r="AA32" s="297">
        <v>-53.207999999999998</v>
      </c>
      <c r="AB32" s="297">
        <v>-60.036000000000001</v>
      </c>
      <c r="AC32" s="297">
        <v>-40.14</v>
      </c>
      <c r="AD32" s="297">
        <v>-35.851999999999997</v>
      </c>
      <c r="AE32" s="297">
        <v>-77.597999999999999</v>
      </c>
      <c r="AF32" s="297">
        <v>-81.63</v>
      </c>
      <c r="AG32" s="297">
        <v>187.042</v>
      </c>
      <c r="AH32" s="297">
        <v>-57.508000000000003</v>
      </c>
      <c r="AI32" s="297">
        <v>-59.276000000000003</v>
      </c>
      <c r="AJ32" s="297">
        <v>173.79400000000001</v>
      </c>
      <c r="AK32" s="297">
        <v>11.727</v>
      </c>
      <c r="AL32" s="30"/>
      <c r="AM32" s="21"/>
      <c r="AN32" s="21"/>
      <c r="AO32" s="297">
        <f>I32</f>
        <v>-31.751999999999999</v>
      </c>
      <c r="AP32" s="297">
        <f>M32</f>
        <v>-206.81299999999999</v>
      </c>
      <c r="AQ32" s="297">
        <f>Q32</f>
        <v>-400.63799999999998</v>
      </c>
      <c r="AR32" s="297">
        <f>U32</f>
        <v>-244.89699999999999</v>
      </c>
      <c r="AS32" s="297">
        <f>Y32</f>
        <v>-317.33347793640678</v>
      </c>
      <c r="AT32" s="297">
        <f>AC32</f>
        <v>-40.14</v>
      </c>
      <c r="AU32" s="297">
        <f>AG32</f>
        <v>187.042</v>
      </c>
      <c r="AV32" s="297">
        <f>AK32</f>
        <v>11.727</v>
      </c>
    </row>
    <row r="33" spans="1:48" x14ac:dyDescent="0.2">
      <c r="A33" s="9" t="s">
        <v>137</v>
      </c>
      <c r="B33" s="267"/>
      <c r="C33" s="267"/>
      <c r="D33" s="267"/>
      <c r="E33" s="267"/>
      <c r="F33" s="267"/>
      <c r="G33" s="267"/>
      <c r="H33" s="267"/>
      <c r="I33" s="267"/>
      <c r="J33" s="268"/>
      <c r="K33" s="268"/>
      <c r="L33" s="266"/>
      <c r="M33" s="266"/>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35"/>
      <c r="AM33" s="267"/>
      <c r="AN33" s="262"/>
      <c r="AO33" s="262"/>
      <c r="AP33" s="262"/>
      <c r="AQ33" s="262">
        <f t="shared" ref="AQ33:AV33" si="12">AQ32/AP32-1</f>
        <v>0.93719930565293286</v>
      </c>
      <c r="AR33" s="262">
        <f t="shared" si="12"/>
        <v>-0.38873247170762637</v>
      </c>
      <c r="AS33" s="262">
        <f t="shared" si="12"/>
        <v>0.29578344339214779</v>
      </c>
      <c r="AT33" s="262">
        <f t="shared" si="12"/>
        <v>-0.87350846100125623</v>
      </c>
      <c r="AU33" s="262">
        <f t="shared" si="12"/>
        <v>-5.6597409068261086</v>
      </c>
      <c r="AV33" s="262">
        <f t="shared" si="12"/>
        <v>-0.93730285176591355</v>
      </c>
    </row>
    <row r="34" spans="1:48" x14ac:dyDescent="0.2">
      <c r="A34" s="328" t="s">
        <v>268</v>
      </c>
      <c r="B34" s="21" t="s">
        <v>141</v>
      </c>
      <c r="C34" s="21" t="s">
        <v>141</v>
      </c>
      <c r="D34" s="21" t="s">
        <v>141</v>
      </c>
      <c r="E34" s="21" t="s">
        <v>141</v>
      </c>
      <c r="F34" s="21" t="s">
        <v>141</v>
      </c>
      <c r="G34" s="21" t="s">
        <v>141</v>
      </c>
      <c r="H34" s="21" t="s">
        <v>141</v>
      </c>
      <c r="I34" s="21"/>
      <c r="J34" s="23">
        <v>36.976999999999997</v>
      </c>
      <c r="K34" s="23">
        <v>224.06200000000001</v>
      </c>
      <c r="L34" s="23">
        <v>351.13400000000001</v>
      </c>
      <c r="M34" s="23"/>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30"/>
      <c r="AM34" s="21"/>
      <c r="AN34" s="21"/>
      <c r="AO34" s="21"/>
      <c r="AP34" s="23"/>
      <c r="AQ34" s="21"/>
      <c r="AR34" s="21"/>
      <c r="AS34" s="21"/>
      <c r="AT34" s="21"/>
      <c r="AU34" s="21"/>
      <c r="AV34" s="21"/>
    </row>
    <row r="35" spans="1:48" x14ac:dyDescent="0.2">
      <c r="A35" s="329" t="s">
        <v>3</v>
      </c>
      <c r="B35" s="267"/>
      <c r="C35" s="267"/>
      <c r="D35" s="267"/>
      <c r="E35" s="267"/>
      <c r="F35" s="267"/>
      <c r="G35" s="267"/>
      <c r="H35" s="267"/>
      <c r="I35" s="12">
        <f>I28/I54</f>
        <v>2.4975105200603899E-2</v>
      </c>
      <c r="J35" s="268"/>
      <c r="K35" s="268"/>
      <c r="L35" s="266"/>
      <c r="M35" s="12">
        <f>M28/M54</f>
        <v>9.6599280219092157E-2</v>
      </c>
      <c r="N35" s="267"/>
      <c r="O35" s="267"/>
      <c r="P35" s="267"/>
      <c r="Q35" s="12">
        <f>Q28/Q54</f>
        <v>-0.16063390975228337</v>
      </c>
      <c r="R35" s="267"/>
      <c r="S35" s="267"/>
      <c r="T35" s="267"/>
      <c r="U35" s="12">
        <f>U28/U54</f>
        <v>-2.019689265167459E-2</v>
      </c>
      <c r="V35" s="267"/>
      <c r="W35" s="267"/>
      <c r="X35" s="267"/>
      <c r="Y35" s="12">
        <f t="shared" ref="Y35:AI35" si="13">Y28/Y54</f>
        <v>-3.049251323564476E-2</v>
      </c>
      <c r="Z35" s="12">
        <f t="shared" si="13"/>
        <v>2.0606022281752644E-2</v>
      </c>
      <c r="AA35" s="12">
        <f t="shared" si="13"/>
        <v>4.2955320322054742E-2</v>
      </c>
      <c r="AB35" s="12">
        <f t="shared" si="13"/>
        <v>5.9638715705347782E-2</v>
      </c>
      <c r="AC35" s="12">
        <f t="shared" si="13"/>
        <v>5.2103796580201936E-2</v>
      </c>
      <c r="AD35" s="12">
        <f t="shared" si="13"/>
        <v>-5.0302447783872129E-3</v>
      </c>
      <c r="AE35" s="12">
        <f t="shared" si="13"/>
        <v>8.1453302473159783E-4</v>
      </c>
      <c r="AF35" s="12">
        <f t="shared" si="13"/>
        <v>1.5030625240862509E-2</v>
      </c>
      <c r="AG35" s="12">
        <f t="shared" si="13"/>
        <v>3.9660274528105655E-3</v>
      </c>
      <c r="AH35" s="12">
        <f t="shared" si="13"/>
        <v>-5.4887115026464157E-2</v>
      </c>
      <c r="AI35" s="12">
        <f t="shared" si="13"/>
        <v>1.5955583805731038E-3</v>
      </c>
      <c r="AJ35" s="12">
        <f>AJ28/AJ54</f>
        <v>3.5705194694390131E-2</v>
      </c>
      <c r="AK35" s="12">
        <f>AK28/AK54</f>
        <v>-3.927305311409713E-2</v>
      </c>
      <c r="AL35" s="235"/>
      <c r="AM35" s="267"/>
      <c r="AN35" s="262"/>
      <c r="AO35" s="12">
        <f t="shared" ref="AO35:AU35" si="14">AO28/AO54</f>
        <v>2.4975105200603899E-2</v>
      </c>
      <c r="AP35" s="12">
        <f t="shared" si="14"/>
        <v>9.6599280219092157E-2</v>
      </c>
      <c r="AQ35" s="12">
        <f t="shared" si="14"/>
        <v>-0.16063390975228337</v>
      </c>
      <c r="AR35" s="12">
        <f t="shared" si="14"/>
        <v>-2.019689265167459E-2</v>
      </c>
      <c r="AS35" s="12">
        <f t="shared" si="14"/>
        <v>-3.049251323564476E-2</v>
      </c>
      <c r="AT35" s="12">
        <f t="shared" si="14"/>
        <v>5.2103796580201936E-2</v>
      </c>
      <c r="AU35" s="12">
        <f t="shared" si="14"/>
        <v>3.9660274528105655E-3</v>
      </c>
      <c r="AV35" s="12">
        <f t="shared" ref="AV35" si="15">AV28/AV54</f>
        <v>-3.927305311409713E-2</v>
      </c>
    </row>
    <row r="36" spans="1:48" x14ac:dyDescent="0.2">
      <c r="A36" s="329" t="s">
        <v>2</v>
      </c>
      <c r="B36" s="267"/>
      <c r="C36" s="267"/>
      <c r="D36" s="267"/>
      <c r="E36" s="267"/>
      <c r="F36" s="267"/>
      <c r="G36" s="267"/>
      <c r="H36" s="267"/>
      <c r="I36" s="12">
        <f>I30/I54</f>
        <v>9.2062574282869167E-2</v>
      </c>
      <c r="J36" s="268"/>
      <c r="K36" s="268"/>
      <c r="L36" s="266"/>
      <c r="M36" s="12">
        <f>M30/M54</f>
        <v>0.2107558788459549</v>
      </c>
      <c r="N36" s="267"/>
      <c r="O36" s="267"/>
      <c r="P36" s="267"/>
      <c r="Q36" s="12">
        <f>Q30/Q54</f>
        <v>-2.899508193005915E-2</v>
      </c>
      <c r="R36" s="267"/>
      <c r="S36" s="267"/>
      <c r="T36" s="267"/>
      <c r="U36" s="12">
        <f>U30/U54</f>
        <v>7.6011224449779743E-2</v>
      </c>
      <c r="V36" s="267"/>
      <c r="W36" s="267"/>
      <c r="X36" s="267"/>
      <c r="Y36" s="12">
        <f t="shared" ref="Y36:AI36" si="16">Y30/Y54</f>
        <v>1.9142750170206238E-2</v>
      </c>
      <c r="Z36" s="12">
        <f t="shared" si="16"/>
        <v>8.2883980822516287E-2</v>
      </c>
      <c r="AA36" s="12">
        <f t="shared" si="16"/>
        <v>9.3853641574167021E-2</v>
      </c>
      <c r="AB36" s="12">
        <f t="shared" si="16"/>
        <v>0.10920204235519863</v>
      </c>
      <c r="AC36" s="12">
        <f t="shared" si="16"/>
        <v>0.10365491449288844</v>
      </c>
      <c r="AD36" s="12">
        <f t="shared" si="16"/>
        <v>5.6636297187321938E-2</v>
      </c>
      <c r="AE36" s="12">
        <f t="shared" si="16"/>
        <v>5.5544439811689258E-2</v>
      </c>
      <c r="AF36" s="12">
        <f t="shared" si="16"/>
        <v>6.6497764554532074E-2</v>
      </c>
      <c r="AG36" s="12">
        <f t="shared" si="16"/>
        <v>5.5213837456382142E-2</v>
      </c>
      <c r="AH36" s="12">
        <f t="shared" si="16"/>
        <v>1.8030133107343485E-2</v>
      </c>
      <c r="AI36" s="12">
        <f t="shared" si="16"/>
        <v>6.3747746111637194E-2</v>
      </c>
      <c r="AJ36" s="12">
        <f>AJ30/AJ54</f>
        <v>9.5795577060168641E-2</v>
      </c>
      <c r="AK36" s="12">
        <f>AK30/AK54</f>
        <v>8.2162875295588064E-2</v>
      </c>
      <c r="AL36" s="235"/>
      <c r="AM36" s="267"/>
      <c r="AN36" s="262"/>
      <c r="AO36" s="12">
        <f t="shared" ref="AO36:AU36" si="17">AO30/AO54</f>
        <v>9.2062574282869167E-2</v>
      </c>
      <c r="AP36" s="12">
        <f t="shared" si="17"/>
        <v>0.2107558788459549</v>
      </c>
      <c r="AQ36" s="12">
        <f t="shared" si="17"/>
        <v>-2.899508193005915E-2</v>
      </c>
      <c r="AR36" s="12">
        <f t="shared" si="17"/>
        <v>7.6011224449779743E-2</v>
      </c>
      <c r="AS36" s="12">
        <f t="shared" si="17"/>
        <v>1.9142750170206238E-2</v>
      </c>
      <c r="AT36" s="12">
        <f t="shared" si="17"/>
        <v>0.10365491449288844</v>
      </c>
      <c r="AU36" s="12">
        <f t="shared" si="17"/>
        <v>5.5213837456382142E-2</v>
      </c>
      <c r="AV36" s="12">
        <f t="shared" ref="AV36" si="18">AV30/AV54</f>
        <v>8.2162875295588064E-2</v>
      </c>
    </row>
    <row r="37" spans="1:48" x14ac:dyDescent="0.2">
      <c r="A37" s="329" t="s">
        <v>267</v>
      </c>
      <c r="B37" s="267"/>
      <c r="C37" s="267"/>
      <c r="D37" s="267"/>
      <c r="E37" s="267"/>
      <c r="F37" s="267"/>
      <c r="G37" s="267"/>
      <c r="H37" s="267"/>
      <c r="I37" s="12">
        <f>I32/I54</f>
        <v>-0.50997398091934087</v>
      </c>
      <c r="J37" s="268"/>
      <c r="K37" s="268"/>
      <c r="L37" s="266"/>
      <c r="M37" s="12">
        <f>M32/M54</f>
        <v>-0.11260215498701454</v>
      </c>
      <c r="N37" s="267"/>
      <c r="O37" s="267"/>
      <c r="P37" s="267"/>
      <c r="Q37" s="12">
        <f>Q32/Q54</f>
        <v>-0.45400131450717307</v>
      </c>
      <c r="R37" s="267"/>
      <c r="S37" s="267"/>
      <c r="T37" s="267"/>
      <c r="U37" s="12">
        <f>U32/U54</f>
        <v>-0.17784899571094717</v>
      </c>
      <c r="V37" s="267"/>
      <c r="W37" s="267"/>
      <c r="X37" s="267"/>
      <c r="Y37" s="12">
        <f t="shared" ref="Y37:AI37" si="19">Y32/Y54</f>
        <v>-0.17685227320409891</v>
      </c>
      <c r="Z37" s="12">
        <f t="shared" si="19"/>
        <v>-6.4882095266564715E-2</v>
      </c>
      <c r="AA37" s="12">
        <f t="shared" si="19"/>
        <v>-6.3362997524213052E-2</v>
      </c>
      <c r="AB37" s="12">
        <f t="shared" si="19"/>
        <v>-4.7058196463032088E-2</v>
      </c>
      <c r="AC37" s="12">
        <f t="shared" si="19"/>
        <v>-2.4405414426919646E-2</v>
      </c>
      <c r="AD37" s="12">
        <f t="shared" si="19"/>
        <v>-0.10317181681621188</v>
      </c>
      <c r="AE37" s="12">
        <f t="shared" si="19"/>
        <v>-0.1001681991333162</v>
      </c>
      <c r="AF37" s="12">
        <f t="shared" si="19"/>
        <v>-6.5675513243314776E-2</v>
      </c>
      <c r="AG37" s="12">
        <f t="shared" si="19"/>
        <v>0.10897806769922047</v>
      </c>
      <c r="AH37" s="12">
        <f t="shared" si="19"/>
        <v>-0.14591569022475503</v>
      </c>
      <c r="AI37" s="12">
        <f t="shared" si="19"/>
        <v>-6.4077451603557795E-2</v>
      </c>
      <c r="AJ37" s="12">
        <f>AJ32/AJ54</f>
        <v>0.12254573941419986</v>
      </c>
      <c r="AK37" s="12">
        <f>AK32/AK54</f>
        <v>6.4625706008421676E-3</v>
      </c>
      <c r="AL37" s="235"/>
      <c r="AM37" s="267"/>
      <c r="AN37" s="262"/>
      <c r="AO37" s="12">
        <f t="shared" ref="AO37:AU37" si="20">AO32/AO54</f>
        <v>-0.50997398091934087</v>
      </c>
      <c r="AP37" s="12">
        <f t="shared" si="20"/>
        <v>-0.11260215498701454</v>
      </c>
      <c r="AQ37" s="12">
        <f t="shared" si="20"/>
        <v>-0.45400131450717307</v>
      </c>
      <c r="AR37" s="12">
        <f t="shared" si="20"/>
        <v>-0.17784899571094717</v>
      </c>
      <c r="AS37" s="12">
        <f t="shared" si="20"/>
        <v>-0.17685227320409891</v>
      </c>
      <c r="AT37" s="12">
        <f t="shared" si="20"/>
        <v>-2.4405414426919646E-2</v>
      </c>
      <c r="AU37" s="12">
        <f t="shared" si="20"/>
        <v>0.10897806769922047</v>
      </c>
      <c r="AV37" s="12">
        <f t="shared" ref="AV37" si="21">AV32/AV54</f>
        <v>6.4625706008421676E-3</v>
      </c>
    </row>
    <row r="38" spans="1:48" x14ac:dyDescent="0.2">
      <c r="A38" s="18"/>
      <c r="B38" s="27"/>
      <c r="C38" s="27"/>
      <c r="D38" s="27"/>
      <c r="E38" s="27"/>
      <c r="F38" s="27"/>
      <c r="G38" s="27"/>
      <c r="H38" s="28"/>
      <c r="I38" s="28"/>
      <c r="J38" s="26"/>
      <c r="K38" s="26"/>
      <c r="L38" s="44"/>
      <c r="M38" s="44"/>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6"/>
      <c r="AM38" s="19"/>
      <c r="AN38" s="19"/>
      <c r="AO38" s="19"/>
      <c r="AP38" s="19"/>
      <c r="AQ38" s="19"/>
      <c r="AR38" s="19"/>
      <c r="AS38" s="19"/>
      <c r="AT38" s="19"/>
      <c r="AU38" s="19"/>
      <c r="AV38" s="19"/>
    </row>
    <row r="39" spans="1:48" x14ac:dyDescent="0.2">
      <c r="A39" s="2" t="s">
        <v>132</v>
      </c>
      <c r="B39" s="3" t="s">
        <v>282</v>
      </c>
      <c r="C39" s="4" t="s">
        <v>283</v>
      </c>
      <c r="D39" s="4" t="s">
        <v>284</v>
      </c>
      <c r="E39" s="4" t="s">
        <v>22</v>
      </c>
      <c r="F39" s="3" t="s">
        <v>285</v>
      </c>
      <c r="G39" s="3" t="s">
        <v>286</v>
      </c>
      <c r="H39" s="4" t="s">
        <v>287</v>
      </c>
      <c r="I39" s="4" t="s">
        <v>288</v>
      </c>
      <c r="J39" s="5" t="s">
        <v>289</v>
      </c>
      <c r="K39" s="3" t="s">
        <v>290</v>
      </c>
      <c r="L39" s="3" t="s">
        <v>291</v>
      </c>
      <c r="M39" s="3" t="s">
        <v>292</v>
      </c>
      <c r="N39" s="4" t="s">
        <v>279</v>
      </c>
      <c r="O39" s="4" t="s">
        <v>280</v>
      </c>
      <c r="P39" s="4" t="s">
        <v>281</v>
      </c>
      <c r="Q39" s="4" t="s">
        <v>183</v>
      </c>
      <c r="R39" s="4" t="s">
        <v>187</v>
      </c>
      <c r="S39" s="4" t="s">
        <v>200</v>
      </c>
      <c r="T39" s="4" t="s">
        <v>203</v>
      </c>
      <c r="U39" s="4" t="s">
        <v>206</v>
      </c>
      <c r="V39" s="4" t="s">
        <v>278</v>
      </c>
      <c r="W39" s="4" t="s">
        <v>211</v>
      </c>
      <c r="X39" s="4" t="s">
        <v>213</v>
      </c>
      <c r="Y39" s="4" t="s">
        <v>215</v>
      </c>
      <c r="Z39" s="4" t="s">
        <v>272</v>
      </c>
      <c r="AA39" s="4" t="s">
        <v>227</v>
      </c>
      <c r="AB39" s="4" t="s">
        <v>237</v>
      </c>
      <c r="AC39" s="4" t="s">
        <v>239</v>
      </c>
      <c r="AD39" s="4" t="s">
        <v>273</v>
      </c>
      <c r="AE39" s="4" t="s">
        <v>274</v>
      </c>
      <c r="AF39" s="4" t="s">
        <v>248</v>
      </c>
      <c r="AG39" s="4" t="s">
        <v>255</v>
      </c>
      <c r="AH39" s="4" t="s">
        <v>275</v>
      </c>
      <c r="AI39" s="4" t="s">
        <v>276</v>
      </c>
      <c r="AJ39" s="4" t="s">
        <v>277</v>
      </c>
      <c r="AK39" s="4" t="s">
        <v>295</v>
      </c>
      <c r="AL39" s="6"/>
      <c r="AM39" s="4">
        <v>2005</v>
      </c>
      <c r="AN39" s="4">
        <v>2006</v>
      </c>
      <c r="AO39" s="4">
        <v>2007</v>
      </c>
      <c r="AP39" s="4">
        <v>2008</v>
      </c>
      <c r="AQ39" s="4">
        <v>2009</v>
      </c>
      <c r="AR39" s="4">
        <v>2010</v>
      </c>
      <c r="AS39" s="4">
        <v>2011</v>
      </c>
      <c r="AT39" s="4">
        <v>2012</v>
      </c>
      <c r="AU39" s="4">
        <v>2013</v>
      </c>
      <c r="AV39" s="4">
        <v>2014</v>
      </c>
    </row>
    <row r="40" spans="1:48" s="1" customFormat="1" ht="22.5" x14ac:dyDescent="0.2">
      <c r="A40" s="37" t="s">
        <v>52</v>
      </c>
      <c r="B40" s="21" t="s">
        <v>141</v>
      </c>
      <c r="C40" s="21" t="s">
        <v>141</v>
      </c>
      <c r="D40" s="21" t="s">
        <v>141</v>
      </c>
      <c r="E40" s="21" t="s">
        <v>141</v>
      </c>
      <c r="F40" s="21" t="s">
        <v>141</v>
      </c>
      <c r="G40" s="21" t="s">
        <v>141</v>
      </c>
      <c r="H40" s="21" t="s">
        <v>141</v>
      </c>
      <c r="I40" s="21">
        <v>37.857999999999997</v>
      </c>
      <c r="J40" s="23" t="s">
        <v>141</v>
      </c>
      <c r="K40" s="23" t="s">
        <v>141</v>
      </c>
      <c r="L40" s="23" t="s">
        <v>141</v>
      </c>
      <c r="M40" s="23">
        <v>388.06</v>
      </c>
      <c r="N40" s="23" t="s">
        <v>139</v>
      </c>
      <c r="O40" s="23" t="s">
        <v>139</v>
      </c>
      <c r="P40" s="23" t="s">
        <v>139</v>
      </c>
      <c r="Q40" s="21">
        <v>180.828</v>
      </c>
      <c r="R40" s="23" t="s">
        <v>139</v>
      </c>
      <c r="S40" s="23" t="s">
        <v>139</v>
      </c>
      <c r="T40" s="23" t="s">
        <v>139</v>
      </c>
      <c r="U40" s="23">
        <v>254.428</v>
      </c>
      <c r="V40" s="23" t="s">
        <v>139</v>
      </c>
      <c r="W40" s="23" t="s">
        <v>139</v>
      </c>
      <c r="X40" s="23" t="s">
        <v>139</v>
      </c>
      <c r="Y40" s="23">
        <v>390.61500000000001</v>
      </c>
      <c r="Z40" s="23" t="s">
        <v>139</v>
      </c>
      <c r="AA40" s="23" t="s">
        <v>139</v>
      </c>
      <c r="AB40" s="23" t="s">
        <v>139</v>
      </c>
      <c r="AC40" s="23">
        <v>300.214</v>
      </c>
      <c r="AD40" s="23" t="s">
        <v>139</v>
      </c>
      <c r="AE40" s="23" t="s">
        <v>139</v>
      </c>
      <c r="AF40" s="23" t="s">
        <v>139</v>
      </c>
      <c r="AG40" s="23">
        <v>179.791</v>
      </c>
      <c r="AH40" s="23" t="s">
        <v>139</v>
      </c>
      <c r="AI40" s="23" t="s">
        <v>139</v>
      </c>
      <c r="AJ40" s="23" t="s">
        <v>139</v>
      </c>
      <c r="AK40" s="23">
        <v>49.886000000000003</v>
      </c>
      <c r="AL40" s="23"/>
      <c r="AM40" s="21" t="s">
        <v>141</v>
      </c>
      <c r="AN40" s="21" t="s">
        <v>141</v>
      </c>
      <c r="AO40" s="21">
        <v>37.857999999999997</v>
      </c>
      <c r="AP40" s="21">
        <v>388.06</v>
      </c>
      <c r="AQ40" s="21">
        <f>Q40</f>
        <v>180.828</v>
      </c>
      <c r="AR40" s="21">
        <f>U40</f>
        <v>254.428</v>
      </c>
      <c r="AS40" s="21">
        <f>Y40</f>
        <v>390.61500000000001</v>
      </c>
      <c r="AT40" s="21">
        <f>AC40</f>
        <v>300.214</v>
      </c>
      <c r="AU40" s="21">
        <f>AG40</f>
        <v>179.791</v>
      </c>
      <c r="AV40" s="21">
        <f>AK40</f>
        <v>49.886000000000003</v>
      </c>
    </row>
    <row r="41" spans="1:48" s="219" customFormat="1" x14ac:dyDescent="0.2">
      <c r="A41" s="9" t="s">
        <v>137</v>
      </c>
      <c r="B41" s="269"/>
      <c r="C41" s="269"/>
      <c r="D41" s="269"/>
      <c r="E41" s="269"/>
      <c r="F41" s="269"/>
      <c r="G41" s="269"/>
      <c r="H41" s="270"/>
      <c r="I41" s="270"/>
      <c r="J41" s="268"/>
      <c r="K41" s="268"/>
      <c r="L41" s="266"/>
      <c r="M41" s="266"/>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35"/>
      <c r="AM41" s="270"/>
      <c r="AN41" s="262"/>
      <c r="AO41" s="262"/>
      <c r="AP41" s="262">
        <v>9.2504094246922719</v>
      </c>
      <c r="AQ41" s="262">
        <f t="shared" ref="AQ41:AV41" si="22">AQ40/AP40-1</f>
        <v>-0.53402051229191361</v>
      </c>
      <c r="AR41" s="262">
        <f t="shared" si="22"/>
        <v>0.40701661247151977</v>
      </c>
      <c r="AS41" s="262">
        <f t="shared" si="22"/>
        <v>0.53526734478909566</v>
      </c>
      <c r="AT41" s="262">
        <f t="shared" si="22"/>
        <v>-0.2314324846716076</v>
      </c>
      <c r="AU41" s="262">
        <f t="shared" si="22"/>
        <v>-0.40112386497631691</v>
      </c>
      <c r="AV41" s="262">
        <f t="shared" si="22"/>
        <v>-0.72253338598706274</v>
      </c>
    </row>
    <row r="42" spans="1:48" x14ac:dyDescent="0.2">
      <c r="A42" s="32"/>
      <c r="B42" s="25"/>
      <c r="C42" s="25"/>
      <c r="D42" s="25"/>
      <c r="E42" s="25"/>
      <c r="F42" s="25"/>
      <c r="G42" s="25"/>
      <c r="H42" s="33"/>
      <c r="I42" s="33"/>
      <c r="J42" s="34"/>
      <c r="K42" s="34"/>
      <c r="L42" s="34"/>
      <c r="M42" s="34"/>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5"/>
      <c r="AM42" s="33"/>
      <c r="AN42" s="33"/>
      <c r="AO42" s="33"/>
      <c r="AP42" s="33"/>
      <c r="AQ42" s="33"/>
      <c r="AR42" s="33"/>
      <c r="AS42" s="33"/>
      <c r="AT42" s="33"/>
      <c r="AU42" s="33"/>
      <c r="AV42" s="33"/>
    </row>
    <row r="43" spans="1:48" x14ac:dyDescent="0.2">
      <c r="A43" s="2" t="s">
        <v>260</v>
      </c>
      <c r="B43" s="3" t="s">
        <v>282</v>
      </c>
      <c r="C43" s="4" t="s">
        <v>283</v>
      </c>
      <c r="D43" s="4" t="s">
        <v>284</v>
      </c>
      <c r="E43" s="4" t="s">
        <v>22</v>
      </c>
      <c r="F43" s="3" t="s">
        <v>285</v>
      </c>
      <c r="G43" s="3" t="s">
        <v>286</v>
      </c>
      <c r="H43" s="4" t="s">
        <v>287</v>
      </c>
      <c r="I43" s="4" t="s">
        <v>288</v>
      </c>
      <c r="J43" s="5" t="s">
        <v>289</v>
      </c>
      <c r="K43" s="3" t="s">
        <v>290</v>
      </c>
      <c r="L43" s="3" t="s">
        <v>291</v>
      </c>
      <c r="M43" s="3" t="s">
        <v>292</v>
      </c>
      <c r="N43" s="4" t="s">
        <v>279</v>
      </c>
      <c r="O43" s="4" t="s">
        <v>280</v>
      </c>
      <c r="P43" s="4" t="s">
        <v>281</v>
      </c>
      <c r="Q43" s="4" t="s">
        <v>183</v>
      </c>
      <c r="R43" s="4" t="s">
        <v>187</v>
      </c>
      <c r="S43" s="4" t="s">
        <v>200</v>
      </c>
      <c r="T43" s="4" t="s">
        <v>203</v>
      </c>
      <c r="U43" s="4" t="s">
        <v>206</v>
      </c>
      <c r="V43" s="4" t="s">
        <v>278</v>
      </c>
      <c r="W43" s="4" t="s">
        <v>211</v>
      </c>
      <c r="X43" s="4" t="s">
        <v>213</v>
      </c>
      <c r="Y43" s="4" t="s">
        <v>215</v>
      </c>
      <c r="Z43" s="4" t="s">
        <v>272</v>
      </c>
      <c r="AA43" s="4" t="s">
        <v>227</v>
      </c>
      <c r="AB43" s="4" t="s">
        <v>237</v>
      </c>
      <c r="AC43" s="4" t="s">
        <v>239</v>
      </c>
      <c r="AD43" s="4" t="s">
        <v>273</v>
      </c>
      <c r="AE43" s="4" t="s">
        <v>274</v>
      </c>
      <c r="AF43" s="4" t="s">
        <v>248</v>
      </c>
      <c r="AG43" s="4" t="s">
        <v>255</v>
      </c>
      <c r="AH43" s="4" t="s">
        <v>275</v>
      </c>
      <c r="AI43" s="4" t="s">
        <v>276</v>
      </c>
      <c r="AJ43" s="4" t="s">
        <v>277</v>
      </c>
      <c r="AK43" s="4" t="s">
        <v>295</v>
      </c>
      <c r="AL43" s="6"/>
      <c r="AM43" s="4">
        <v>2005</v>
      </c>
      <c r="AN43" s="4">
        <v>2006</v>
      </c>
      <c r="AO43" s="4">
        <v>2007</v>
      </c>
      <c r="AP43" s="4">
        <v>2008</v>
      </c>
      <c r="AQ43" s="4">
        <v>2009</v>
      </c>
      <c r="AR43" s="4">
        <v>2010</v>
      </c>
      <c r="AS43" s="4">
        <v>2011</v>
      </c>
      <c r="AT43" s="4">
        <v>2012</v>
      </c>
      <c r="AU43" s="4">
        <v>2013</v>
      </c>
      <c r="AV43" s="4">
        <v>2014</v>
      </c>
    </row>
    <row r="44" spans="1:48" x14ac:dyDescent="0.2">
      <c r="A44" s="18" t="s">
        <v>14</v>
      </c>
      <c r="B44" s="21" t="s">
        <v>141</v>
      </c>
      <c r="C44" s="21" t="s">
        <v>141</v>
      </c>
      <c r="D44" s="21" t="s">
        <v>141</v>
      </c>
      <c r="E44" s="21" t="s">
        <v>141</v>
      </c>
      <c r="F44" s="21" t="s">
        <v>141</v>
      </c>
      <c r="G44" s="21" t="s">
        <v>141</v>
      </c>
      <c r="H44" s="21" t="s">
        <v>141</v>
      </c>
      <c r="I44" s="19">
        <v>2.4975105200603899E-2</v>
      </c>
      <c r="J44" s="19">
        <v>9.623713003737365E-2</v>
      </c>
      <c r="K44" s="19">
        <v>0.22656921493244242</v>
      </c>
      <c r="L44" s="19">
        <v>0.2142860194199642</v>
      </c>
      <c r="M44" s="19">
        <v>9.6599280219092157E-2</v>
      </c>
      <c r="N44" s="19">
        <f>N28/(N24+49.69)</f>
        <v>-0.16841268172139121</v>
      </c>
      <c r="O44" s="19">
        <f>O28/(O24+113.228)</f>
        <v>-0.15955785382105922</v>
      </c>
      <c r="P44" s="19">
        <f>P28/(P24+224.436)</f>
        <v>-9.5364169976780933E-2</v>
      </c>
      <c r="Q44" s="19">
        <f>Q28/(Q24+309.984)</f>
        <v>-0.16063390975228337</v>
      </c>
      <c r="R44" s="19">
        <f>R28/(R24+62.129)</f>
        <v>-0.10683631042666715</v>
      </c>
      <c r="S44" s="19">
        <f>S28/(S24+183.643)</f>
        <v>-2.0270331228832445E-2</v>
      </c>
      <c r="T44" s="19">
        <f>T28/(T24+371.964)</f>
        <v>3.0809420344147246E-2</v>
      </c>
      <c r="U44" s="19">
        <f>U28/(U24+111.276)</f>
        <v>-2.8493067038774179E-2</v>
      </c>
      <c r="V44" s="19">
        <f>V28/(V24+111.276)</f>
        <v>1.7669454735672722E-2</v>
      </c>
      <c r="W44" s="19">
        <f>W28/(W24+310.493)</f>
        <v>1.1666423915010438E-2</v>
      </c>
      <c r="X44" s="19">
        <f>X28/(X24+514.211)</f>
        <v>7.1184328376216622E-3</v>
      </c>
      <c r="Y44" s="19">
        <f>Y28/(Y24+640.14)</f>
        <v>-3.0492514804869971E-2</v>
      </c>
      <c r="Z44" s="19">
        <f>Z28/(Z24+72.865)</f>
        <v>2.0606022281752644E-2</v>
      </c>
      <c r="AA44" s="19">
        <f>AA28/(AA24+235.254)</f>
        <v>4.2955320322054742E-2</v>
      </c>
      <c r="AB44" s="19">
        <f>AB28/(AB24+446.057)</f>
        <v>5.5776168124615604E-2</v>
      </c>
      <c r="AC44" s="19">
        <f>AC28/(AC24+235.254)</f>
        <v>5.9763695730706307E-2</v>
      </c>
      <c r="AD44" s="19">
        <f>AD28/(AD24+59.054)</f>
        <v>-5.0302447783872129E-3</v>
      </c>
      <c r="AE44" s="19">
        <f>AE28/(AE24+172.293)</f>
        <v>8.1453302473159783E-4</v>
      </c>
      <c r="AF44" s="19">
        <f>AF28/(AF24+285.807)</f>
        <v>1.5030625240862509E-2</v>
      </c>
      <c r="AG44" s="19">
        <f>AG28/(AG24+388.149)</f>
        <v>3.9660274528105655E-3</v>
      </c>
      <c r="AH44" s="19">
        <f>AH28/(AH24+59.054)</f>
        <v>-5.4608059939616101E-2</v>
      </c>
      <c r="AI44" s="19">
        <f>AI28/(AI24+59.054)</f>
        <v>1.7868773470924504E-3</v>
      </c>
      <c r="AJ44" s="19">
        <f>AJ28/AJ54</f>
        <v>3.5705194694390131E-2</v>
      </c>
      <c r="AK44" s="19">
        <f>AK28/AK54</f>
        <v>-3.927305311409713E-2</v>
      </c>
      <c r="AL44" s="242"/>
      <c r="AM44" s="271" t="s">
        <v>141</v>
      </c>
      <c r="AN44" s="271" t="s">
        <v>141</v>
      </c>
      <c r="AO44" s="19">
        <v>2.4975105200603899E-2</v>
      </c>
      <c r="AP44" s="19">
        <v>9.6599280219092157E-2</v>
      </c>
      <c r="AQ44" s="19">
        <f>Q44</f>
        <v>-0.16063390975228337</v>
      </c>
      <c r="AR44" s="19">
        <f>U44</f>
        <v>-2.8493067038774179E-2</v>
      </c>
      <c r="AS44" s="19">
        <f>Y44</f>
        <v>-3.0492514804869971E-2</v>
      </c>
      <c r="AT44" s="19">
        <f>AC44</f>
        <v>5.9763695730706307E-2</v>
      </c>
      <c r="AU44" s="19">
        <f>AG44</f>
        <v>3.9660274528105655E-3</v>
      </c>
      <c r="AV44" s="19">
        <f>AK44</f>
        <v>-3.927305311409713E-2</v>
      </c>
    </row>
    <row r="45" spans="1:48" x14ac:dyDescent="0.2">
      <c r="A45" s="18" t="s">
        <v>154</v>
      </c>
      <c r="B45" s="21" t="s">
        <v>141</v>
      </c>
      <c r="C45" s="21" t="s">
        <v>141</v>
      </c>
      <c r="D45" s="21" t="s">
        <v>141</v>
      </c>
      <c r="E45" s="21" t="s">
        <v>141</v>
      </c>
      <c r="F45" s="21" t="s">
        <v>141</v>
      </c>
      <c r="G45" s="21" t="s">
        <v>141</v>
      </c>
      <c r="H45" s="21" t="s">
        <v>141</v>
      </c>
      <c r="I45" s="21">
        <v>14.973902995568579</v>
      </c>
      <c r="J45" s="21">
        <v>77.64739638777516</v>
      </c>
      <c r="K45" s="21">
        <v>224.04815475607643</v>
      </c>
      <c r="L45" s="21">
        <v>232.27286605879772</v>
      </c>
      <c r="M45" s="21">
        <v>100.08327750526479</v>
      </c>
      <c r="N45" s="21">
        <f t="shared" ref="N45:AG45" si="23">N28/N4*1000</f>
        <v>-57.922805374449325</v>
      </c>
      <c r="O45" s="21">
        <f t="shared" si="23"/>
        <v>-68.367981422988549</v>
      </c>
      <c r="P45" s="21">
        <f t="shared" si="23"/>
        <v>-46.677956673022891</v>
      </c>
      <c r="Q45" s="21">
        <f t="shared" si="23"/>
        <v>-84.526464953246105</v>
      </c>
      <c r="R45" s="21">
        <f t="shared" si="23"/>
        <v>-75.866275176813062</v>
      </c>
      <c r="S45" s="21">
        <f t="shared" si="23"/>
        <v>-16.667655786350149</v>
      </c>
      <c r="T45" s="21">
        <f t="shared" si="23"/>
        <v>26.227794125338129</v>
      </c>
      <c r="U45" s="21">
        <f t="shared" si="23"/>
        <v>-16.957926829268292</v>
      </c>
      <c r="V45" s="21">
        <f t="shared" si="23"/>
        <v>18.709814864911731</v>
      </c>
      <c r="W45" s="21">
        <f t="shared" si="23"/>
        <v>13.426436753822975</v>
      </c>
      <c r="X45" s="21">
        <f t="shared" si="23"/>
        <v>7.9354508828734849</v>
      </c>
      <c r="Y45" s="21">
        <f t="shared" si="23"/>
        <v>-33.342834608248239</v>
      </c>
      <c r="Z45" s="21">
        <f t="shared" si="23"/>
        <v>18.466699507459715</v>
      </c>
      <c r="AA45" s="21">
        <f t="shared" si="23"/>
        <v>42.238011316721455</v>
      </c>
      <c r="AB45" s="21">
        <f t="shared" si="23"/>
        <v>58.594126689111675</v>
      </c>
      <c r="AC45" s="21">
        <f t="shared" si="23"/>
        <v>50.434789571790247</v>
      </c>
      <c r="AD45" s="21">
        <f t="shared" si="23"/>
        <v>-4.0651331257377539</v>
      </c>
      <c r="AE45" s="21">
        <f t="shared" si="23"/>
        <v>0.70180210936689569</v>
      </c>
      <c r="AF45" s="21">
        <f t="shared" si="23"/>
        <v>12.7183788607772</v>
      </c>
      <c r="AG45" s="21">
        <f t="shared" si="23"/>
        <v>3.2382438280146588</v>
      </c>
      <c r="AH45" s="21">
        <f>AH28/AH4*1000</f>
        <v>-33.603379590309501</v>
      </c>
      <c r="AI45" s="21">
        <f>AI28/AI4*1000</f>
        <v>1.0729181659625844</v>
      </c>
      <c r="AJ45" s="21">
        <f>AJ28/AJ4*1000</f>
        <v>25.523356585561292</v>
      </c>
      <c r="AK45" s="21">
        <f>AK28/AK4*1000</f>
        <v>-27.206578735742276</v>
      </c>
      <c r="AL45" s="23"/>
      <c r="AM45" s="21" t="s">
        <v>141</v>
      </c>
      <c r="AN45" s="21" t="s">
        <v>141</v>
      </c>
      <c r="AO45" s="21">
        <v>14.973902995568579</v>
      </c>
      <c r="AP45" s="21">
        <v>100.08327750526479</v>
      </c>
      <c r="AQ45" s="21">
        <f>Q45</f>
        <v>-84.526464953246105</v>
      </c>
      <c r="AR45" s="21">
        <f>U45</f>
        <v>-16.957926829268292</v>
      </c>
      <c r="AS45" s="21">
        <f>Y45</f>
        <v>-33.342834608248239</v>
      </c>
      <c r="AT45" s="21">
        <f>AC45</f>
        <v>50.434789571790247</v>
      </c>
      <c r="AU45" s="21">
        <f>AG45</f>
        <v>3.2382438280146588</v>
      </c>
      <c r="AV45" s="21">
        <f>AK45</f>
        <v>-27.206578735742276</v>
      </c>
    </row>
    <row r="46" spans="1:48" x14ac:dyDescent="0.2">
      <c r="A46" s="32"/>
      <c r="B46" s="247"/>
      <c r="C46" s="247"/>
      <c r="D46" s="247"/>
      <c r="E46" s="247"/>
      <c r="F46" s="247"/>
      <c r="G46" s="247"/>
      <c r="H46" s="248"/>
      <c r="I46" s="248"/>
      <c r="J46" s="249"/>
      <c r="K46" s="249"/>
      <c r="L46" s="249"/>
      <c r="M46" s="249"/>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M46" s="248"/>
      <c r="AN46" s="248"/>
      <c r="AO46" s="248"/>
      <c r="AP46" s="248"/>
      <c r="AQ46" s="248"/>
      <c r="AR46" s="248"/>
      <c r="AS46" s="248"/>
      <c r="AT46" s="248"/>
      <c r="AU46" s="248"/>
      <c r="AV46" s="248"/>
    </row>
    <row r="47" spans="1:48" x14ac:dyDescent="0.2">
      <c r="A47" s="18"/>
      <c r="B47" s="47"/>
      <c r="C47" s="47"/>
      <c r="D47" s="47"/>
      <c r="E47" s="47"/>
      <c r="F47" s="47"/>
      <c r="G47" s="47"/>
      <c r="H47" s="18"/>
      <c r="I47" s="18"/>
      <c r="J47" s="250"/>
      <c r="K47" s="250"/>
      <c r="L47" s="250"/>
      <c r="M47" s="250"/>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250"/>
      <c r="AM47" s="18"/>
      <c r="AN47" s="18"/>
      <c r="AO47" s="18"/>
      <c r="AP47" s="18"/>
    </row>
    <row r="48" spans="1:48" x14ac:dyDescent="0.2">
      <c r="A48" s="49" t="s">
        <v>189</v>
      </c>
      <c r="B48" s="47"/>
      <c r="C48" s="47"/>
      <c r="D48" s="252"/>
      <c r="E48" s="252"/>
      <c r="F48" s="47"/>
      <c r="G48" s="47"/>
      <c r="H48" s="253"/>
      <c r="I48" s="253"/>
      <c r="J48" s="250"/>
      <c r="K48" s="250"/>
      <c r="L48" s="250"/>
      <c r="M48" s="250"/>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M48" s="253"/>
      <c r="AN48" s="253"/>
      <c r="AO48" s="253"/>
      <c r="AP48" s="253"/>
    </row>
    <row r="49" spans="1:48" x14ac:dyDescent="0.2">
      <c r="A49" s="49" t="s">
        <v>196</v>
      </c>
      <c r="B49" s="47"/>
      <c r="C49" s="47"/>
      <c r="D49" s="254"/>
      <c r="E49" s="254"/>
      <c r="F49" s="47"/>
      <c r="G49" s="47"/>
      <c r="H49" s="253"/>
      <c r="I49" s="253"/>
      <c r="J49" s="250"/>
      <c r="K49" s="250"/>
      <c r="L49" s="250"/>
      <c r="M49" s="250"/>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0"/>
      <c r="AM49" s="253"/>
      <c r="AN49" s="253"/>
      <c r="AO49" s="253"/>
      <c r="AP49" s="253"/>
    </row>
    <row r="50" spans="1:48" x14ac:dyDescent="0.2">
      <c r="A50" s="49" t="s">
        <v>197</v>
      </c>
      <c r="B50" s="47"/>
      <c r="C50" s="47"/>
      <c r="D50" s="252"/>
      <c r="E50" s="252"/>
      <c r="F50" s="47"/>
      <c r="G50" s="47"/>
      <c r="H50" s="253"/>
      <c r="I50" s="253"/>
      <c r="J50" s="250"/>
      <c r="K50" s="250"/>
      <c r="L50" s="250"/>
      <c r="M50" s="250"/>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0"/>
      <c r="AM50" s="253"/>
      <c r="AN50" s="253"/>
      <c r="AO50" s="253"/>
      <c r="AP50" s="253"/>
    </row>
    <row r="51" spans="1:48" x14ac:dyDescent="0.2">
      <c r="A51" s="18"/>
      <c r="B51" s="47"/>
      <c r="C51" s="47"/>
      <c r="D51" s="253"/>
      <c r="E51" s="253"/>
      <c r="F51" s="253"/>
      <c r="G51" s="253"/>
      <c r="H51" s="253"/>
      <c r="I51" s="253"/>
      <c r="J51" s="255"/>
      <c r="K51" s="255"/>
      <c r="L51" s="255"/>
      <c r="M51" s="255"/>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0"/>
      <c r="AM51" s="253"/>
      <c r="AN51" s="253"/>
      <c r="AO51" s="253"/>
      <c r="AP51" s="253"/>
    </row>
    <row r="52" spans="1:48" x14ac:dyDescent="0.2">
      <c r="A52" s="18"/>
      <c r="B52" s="47"/>
      <c r="C52" s="252"/>
      <c r="D52" s="253"/>
      <c r="E52" s="253"/>
      <c r="F52" s="253"/>
      <c r="G52" s="253"/>
      <c r="H52" s="253"/>
      <c r="I52" s="253"/>
      <c r="J52" s="255"/>
      <c r="K52" s="255"/>
      <c r="L52" s="255"/>
      <c r="M52" s="255"/>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0"/>
      <c r="AM52" s="253"/>
      <c r="AN52" s="253"/>
      <c r="AO52" s="253"/>
      <c r="AP52" s="253"/>
    </row>
    <row r="53" spans="1:48" s="334" customFormat="1" hidden="1" outlineLevel="1" x14ac:dyDescent="0.2">
      <c r="A53" s="336" t="s">
        <v>269</v>
      </c>
      <c r="B53" s="330"/>
      <c r="C53" s="331"/>
      <c r="D53" s="332"/>
      <c r="E53" s="331"/>
      <c r="F53" s="330"/>
      <c r="G53" s="330"/>
      <c r="I53" s="332">
        <v>0</v>
      </c>
      <c r="J53" s="333"/>
      <c r="K53" s="333"/>
      <c r="L53" s="333"/>
      <c r="M53" s="332">
        <v>658.48500000000001</v>
      </c>
      <c r="N53" s="332">
        <v>0</v>
      </c>
      <c r="O53" s="332">
        <v>0</v>
      </c>
      <c r="P53" s="332">
        <v>0</v>
      </c>
      <c r="Q53" s="332">
        <v>309.98399999999998</v>
      </c>
      <c r="R53" s="332">
        <v>0</v>
      </c>
      <c r="S53" s="332">
        <v>0</v>
      </c>
      <c r="T53" s="332">
        <v>0</v>
      </c>
      <c r="U53" s="332">
        <v>512.20799999999997</v>
      </c>
      <c r="V53" s="332">
        <v>0</v>
      </c>
      <c r="W53" s="332">
        <v>0</v>
      </c>
      <c r="X53" s="332">
        <v>0</v>
      </c>
      <c r="Y53" s="332">
        <v>640.14009234157538</v>
      </c>
      <c r="Z53" s="332">
        <v>72.864999999999995</v>
      </c>
      <c r="AA53" s="332">
        <v>235.25399999999999</v>
      </c>
      <c r="AB53" s="332">
        <v>357.70800000000003</v>
      </c>
      <c r="AC53" s="332">
        <v>446.05700000000002</v>
      </c>
      <c r="AD53" s="332">
        <v>59.054000000000002</v>
      </c>
      <c r="AE53" s="332">
        <v>172.29300000000001</v>
      </c>
      <c r="AF53" s="332">
        <v>285.80700000000002</v>
      </c>
      <c r="AG53" s="332">
        <v>388.149</v>
      </c>
      <c r="AH53" s="332">
        <v>57.04</v>
      </c>
      <c r="AI53" s="332">
        <v>158.1</v>
      </c>
      <c r="AJ53" s="332">
        <v>273.48700000000002</v>
      </c>
      <c r="AK53" s="332">
        <v>367.65899999999999</v>
      </c>
      <c r="AL53" s="332"/>
      <c r="AM53" s="332"/>
      <c r="AN53" s="332"/>
      <c r="AO53" s="332">
        <v>0</v>
      </c>
      <c r="AP53" s="332">
        <v>658.48500000000001</v>
      </c>
      <c r="AQ53" s="332">
        <v>309.98399999999998</v>
      </c>
      <c r="AR53" s="332">
        <v>512.20799999999997</v>
      </c>
      <c r="AS53" s="332">
        <v>640.14009234157538</v>
      </c>
      <c r="AT53" s="332">
        <v>446.05700000000002</v>
      </c>
      <c r="AU53" s="332">
        <v>388.149</v>
      </c>
      <c r="AV53" s="332">
        <f>AK53</f>
        <v>367.65899999999999</v>
      </c>
    </row>
    <row r="54" spans="1:48" s="334" customFormat="1" hidden="1" outlineLevel="1" x14ac:dyDescent="0.2">
      <c r="A54" s="336" t="s">
        <v>270</v>
      </c>
      <c r="B54" s="330"/>
      <c r="C54" s="331"/>
      <c r="D54" s="331"/>
      <c r="E54" s="331"/>
      <c r="F54" s="330"/>
      <c r="G54" s="330"/>
      <c r="H54" s="332"/>
      <c r="I54" s="332">
        <f>I53+I24</f>
        <v>62.262</v>
      </c>
      <c r="J54" s="333"/>
      <c r="K54" s="333"/>
      <c r="L54" s="333"/>
      <c r="M54" s="332">
        <f t="shared" ref="M54:AI54" si="24">M53+M24</f>
        <v>1836.67</v>
      </c>
      <c r="N54" s="332">
        <f t="shared" si="24"/>
        <v>102.46599999999999</v>
      </c>
      <c r="O54" s="332">
        <f t="shared" si="24"/>
        <v>232.54</v>
      </c>
      <c r="P54" s="332">
        <f t="shared" si="24"/>
        <v>414.26299999999998</v>
      </c>
      <c r="Q54" s="332">
        <f t="shared" si="24"/>
        <v>882.46</v>
      </c>
      <c r="R54" s="332">
        <f t="shared" si="24"/>
        <v>162.02699999999999</v>
      </c>
      <c r="S54" s="332">
        <f t="shared" si="24"/>
        <v>370.56599999999997</v>
      </c>
      <c r="T54" s="332">
        <f t="shared" si="24"/>
        <v>629.06100000000004</v>
      </c>
      <c r="U54" s="332">
        <f t="shared" si="24"/>
        <v>1376.9939999999999</v>
      </c>
      <c r="V54" s="332">
        <f t="shared" si="24"/>
        <v>259.58999999999997</v>
      </c>
      <c r="W54" s="332">
        <f t="shared" si="24"/>
        <v>595.78300000000002</v>
      </c>
      <c r="X54" s="332">
        <f t="shared" si="24"/>
        <v>894.80700000000002</v>
      </c>
      <c r="Y54" s="332">
        <f t="shared" si="24"/>
        <v>1794.3420923415754</v>
      </c>
      <c r="Z54" s="332">
        <f t="shared" si="24"/>
        <v>347.90800000000002</v>
      </c>
      <c r="AA54" s="332">
        <f t="shared" si="24"/>
        <v>839.73300000000006</v>
      </c>
      <c r="AB54" s="332">
        <f t="shared" si="24"/>
        <v>1275.7819999999999</v>
      </c>
      <c r="AC54" s="332">
        <f t="shared" si="24"/>
        <v>1644.7170000000001</v>
      </c>
      <c r="AD54" s="332">
        <f t="shared" si="24"/>
        <v>347.49800000000005</v>
      </c>
      <c r="AE54" s="332">
        <f t="shared" si="24"/>
        <v>774.67700000000002</v>
      </c>
      <c r="AF54" s="332">
        <f t="shared" si="24"/>
        <v>1242.9290000000001</v>
      </c>
      <c r="AG54" s="332">
        <f t="shared" si="24"/>
        <v>1716.3270000000002</v>
      </c>
      <c r="AH54" s="332">
        <f t="shared" si="24"/>
        <v>394.11799999999999</v>
      </c>
      <c r="AI54" s="332">
        <f t="shared" si="24"/>
        <v>925.06799999999998</v>
      </c>
      <c r="AJ54" s="332">
        <f>AJ53+AJ24</f>
        <v>1418.1970000000001</v>
      </c>
      <c r="AK54" s="332">
        <f>AK53+AK24</f>
        <v>1814.6030000000001</v>
      </c>
      <c r="AL54" s="332"/>
      <c r="AM54" s="332"/>
      <c r="AN54" s="332"/>
      <c r="AO54" s="332">
        <f t="shared" ref="AO54:AU54" si="25">AO53+AO24</f>
        <v>62.262</v>
      </c>
      <c r="AP54" s="332">
        <f t="shared" si="25"/>
        <v>1836.67</v>
      </c>
      <c r="AQ54" s="332">
        <f t="shared" si="25"/>
        <v>882.46</v>
      </c>
      <c r="AR54" s="332">
        <f t="shared" si="25"/>
        <v>1376.9939999999999</v>
      </c>
      <c r="AS54" s="332">
        <f t="shared" si="25"/>
        <v>1794.3420923415754</v>
      </c>
      <c r="AT54" s="332">
        <f t="shared" si="25"/>
        <v>1644.7170000000001</v>
      </c>
      <c r="AU54" s="332">
        <f t="shared" si="25"/>
        <v>1716.3270000000002</v>
      </c>
      <c r="AV54" s="332">
        <f t="shared" ref="AV54" si="26">AV53+AV24</f>
        <v>1814.6030000000001</v>
      </c>
    </row>
    <row r="55" spans="1:48" collapsed="1" x14ac:dyDescent="0.2">
      <c r="A55" s="18"/>
      <c r="B55" s="47"/>
      <c r="C55" s="254"/>
      <c r="D55" s="252"/>
      <c r="E55" s="252"/>
      <c r="F55" s="47"/>
      <c r="G55" s="47"/>
      <c r="H55" s="253"/>
      <c r="I55" s="253"/>
      <c r="J55" s="250"/>
      <c r="K55" s="250"/>
      <c r="L55" s="250"/>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row>
    <row r="56" spans="1:48" s="194" customFormat="1" x14ac:dyDescent="0.2">
      <c r="A56" s="18"/>
      <c r="B56" s="47"/>
      <c r="C56" s="254"/>
      <c r="D56" s="252"/>
      <c r="E56" s="252"/>
      <c r="F56" s="47"/>
      <c r="G56" s="47"/>
      <c r="H56" s="253"/>
      <c r="I56" s="253"/>
      <c r="J56" s="250"/>
      <c r="K56" s="250"/>
      <c r="L56" s="250"/>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row>
    <row r="57" spans="1:48" x14ac:dyDescent="0.2">
      <c r="A57" s="18"/>
      <c r="B57" s="47"/>
      <c r="C57" s="254"/>
      <c r="D57" s="252"/>
      <c r="E57" s="252"/>
      <c r="F57" s="47"/>
      <c r="G57" s="47"/>
      <c r="H57" s="253"/>
      <c r="I57" s="253"/>
      <c r="J57" s="250"/>
      <c r="K57" s="250"/>
      <c r="L57" s="250"/>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row>
    <row r="58" spans="1:48" s="194" customFormat="1" x14ac:dyDescent="0.2">
      <c r="A58" s="18"/>
      <c r="B58" s="47"/>
      <c r="C58" s="254"/>
      <c r="D58" s="252"/>
      <c r="E58" s="252"/>
      <c r="F58" s="47"/>
      <c r="G58" s="47"/>
      <c r="H58" s="253"/>
      <c r="I58" s="253"/>
      <c r="J58" s="250"/>
      <c r="K58" s="250"/>
      <c r="L58" s="250"/>
      <c r="M58" s="250"/>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0"/>
      <c r="AM58" s="253"/>
      <c r="AN58" s="253"/>
      <c r="AO58" s="253"/>
      <c r="AP58" s="253"/>
      <c r="AQ58" s="36"/>
      <c r="AR58" s="36"/>
      <c r="AS58" s="36"/>
      <c r="AT58" s="36"/>
      <c r="AU58" s="36"/>
    </row>
    <row r="59" spans="1:48" x14ac:dyDescent="0.2">
      <c r="A59" s="18"/>
      <c r="B59" s="47"/>
      <c r="C59" s="252"/>
      <c r="D59" s="252"/>
      <c r="E59" s="252"/>
      <c r="F59" s="252"/>
      <c r="G59" s="252"/>
      <c r="H59" s="253"/>
      <c r="I59" s="253"/>
      <c r="J59" s="256"/>
      <c r="K59" s="256"/>
      <c r="L59" s="256"/>
      <c r="M59" s="256"/>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0"/>
      <c r="AM59" s="253"/>
      <c r="AN59" s="253"/>
      <c r="AO59" s="253"/>
      <c r="AP59" s="253"/>
    </row>
    <row r="60" spans="1:48" x14ac:dyDescent="0.2">
      <c r="A60" s="18"/>
      <c r="B60" s="47"/>
      <c r="C60" s="252"/>
      <c r="D60" s="252"/>
      <c r="E60" s="252"/>
      <c r="F60" s="252"/>
      <c r="G60" s="252"/>
      <c r="H60" s="253"/>
      <c r="I60" s="253"/>
      <c r="J60" s="256"/>
      <c r="K60" s="256"/>
      <c r="L60" s="256"/>
      <c r="M60" s="256"/>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0"/>
      <c r="AM60" s="253"/>
      <c r="AN60" s="253"/>
      <c r="AO60" s="253"/>
      <c r="AP60" s="253"/>
    </row>
    <row r="61" spans="1:48" x14ac:dyDescent="0.2">
      <c r="A61" s="18"/>
      <c r="B61" s="47"/>
      <c r="C61" s="252"/>
      <c r="D61" s="252"/>
      <c r="E61" s="252"/>
      <c r="F61" s="252"/>
      <c r="G61" s="252"/>
      <c r="H61" s="253"/>
      <c r="I61" s="253"/>
      <c r="J61" s="256"/>
      <c r="K61" s="256"/>
      <c r="L61" s="256"/>
      <c r="M61" s="256"/>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6"/>
      <c r="AM61" s="253"/>
      <c r="AN61" s="253"/>
      <c r="AO61" s="253"/>
      <c r="AP61" s="253"/>
    </row>
    <row r="62" spans="1:48" x14ac:dyDescent="0.2">
      <c r="A62" s="18"/>
      <c r="B62" s="47"/>
      <c r="C62" s="252"/>
      <c r="D62" s="252"/>
      <c r="E62" s="252"/>
      <c r="F62" s="252"/>
      <c r="G62" s="252"/>
      <c r="H62" s="253"/>
      <c r="I62" s="253"/>
      <c r="J62" s="256"/>
      <c r="K62" s="256"/>
      <c r="L62" s="256"/>
      <c r="M62" s="256"/>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6"/>
      <c r="AM62" s="253"/>
      <c r="AN62" s="253"/>
      <c r="AO62" s="253"/>
      <c r="AP62" s="253"/>
    </row>
    <row r="63" spans="1:48" x14ac:dyDescent="0.2">
      <c r="A63" s="18"/>
      <c r="B63" s="47"/>
      <c r="C63" s="252"/>
      <c r="D63" s="252"/>
      <c r="E63" s="252"/>
      <c r="F63" s="252"/>
      <c r="G63" s="252"/>
      <c r="H63" s="253"/>
      <c r="I63" s="253"/>
      <c r="J63" s="256"/>
      <c r="K63" s="256"/>
      <c r="L63" s="256"/>
      <c r="M63" s="256"/>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6"/>
      <c r="AM63" s="253"/>
      <c r="AN63" s="253"/>
      <c r="AO63" s="253"/>
      <c r="AP63" s="253"/>
    </row>
    <row r="64" spans="1:48" x14ac:dyDescent="0.2">
      <c r="A64" s="18"/>
      <c r="B64" s="47"/>
      <c r="C64" s="252"/>
      <c r="D64" s="252"/>
      <c r="E64" s="252"/>
      <c r="F64" s="252"/>
      <c r="G64" s="252"/>
      <c r="H64" s="253"/>
      <c r="I64" s="253"/>
      <c r="J64" s="256"/>
      <c r="K64" s="256"/>
      <c r="L64" s="256"/>
      <c r="M64" s="256"/>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6"/>
      <c r="AM64" s="253"/>
      <c r="AN64" s="253"/>
      <c r="AO64" s="253"/>
      <c r="AP64" s="253"/>
    </row>
    <row r="65" spans="1:47" x14ac:dyDescent="0.2">
      <c r="A65" s="18"/>
      <c r="B65" s="47"/>
      <c r="C65" s="257"/>
      <c r="D65" s="257"/>
      <c r="E65" s="257"/>
      <c r="F65" s="257"/>
      <c r="G65" s="257"/>
      <c r="H65" s="258"/>
      <c r="I65" s="258"/>
      <c r="J65" s="259"/>
      <c r="K65" s="259"/>
      <c r="L65" s="259"/>
      <c r="M65" s="259"/>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6"/>
      <c r="AM65" s="258"/>
      <c r="AN65" s="258"/>
      <c r="AO65" s="258"/>
      <c r="AP65" s="258"/>
    </row>
    <row r="66" spans="1:47" x14ac:dyDescent="0.2">
      <c r="A66" s="18"/>
      <c r="B66" s="257"/>
      <c r="C66" s="257"/>
      <c r="D66" s="257"/>
      <c r="E66" s="257"/>
      <c r="F66" s="257"/>
      <c r="G66" s="257"/>
      <c r="H66" s="258"/>
      <c r="I66" s="258"/>
      <c r="J66" s="259"/>
      <c r="K66" s="259"/>
      <c r="L66" s="259"/>
      <c r="M66" s="259"/>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6"/>
      <c r="AM66" s="258"/>
      <c r="AN66" s="258"/>
      <c r="AO66" s="258"/>
      <c r="AP66" s="258"/>
    </row>
    <row r="67" spans="1:47" x14ac:dyDescent="0.2">
      <c r="A67" s="18"/>
      <c r="B67" s="257"/>
      <c r="C67" s="257"/>
      <c r="D67" s="257"/>
      <c r="E67" s="257"/>
      <c r="F67" s="257"/>
      <c r="G67" s="257"/>
      <c r="H67" s="258"/>
      <c r="I67" s="258"/>
      <c r="J67" s="259"/>
      <c r="K67" s="259"/>
      <c r="L67" s="259"/>
      <c r="M67" s="259"/>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9"/>
      <c r="AM67" s="258"/>
      <c r="AN67" s="258"/>
      <c r="AO67" s="258"/>
      <c r="AP67" s="258"/>
    </row>
    <row r="68" spans="1:47" x14ac:dyDescent="0.2">
      <c r="A68" s="18"/>
      <c r="B68" s="257"/>
      <c r="C68" s="257"/>
      <c r="D68" s="257"/>
      <c r="E68" s="257"/>
      <c r="F68" s="257"/>
      <c r="G68" s="257"/>
      <c r="H68" s="258"/>
      <c r="I68" s="258"/>
      <c r="J68" s="259"/>
      <c r="K68" s="259"/>
      <c r="L68" s="259"/>
      <c r="M68" s="259"/>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9"/>
      <c r="AM68" s="258"/>
      <c r="AN68" s="258"/>
      <c r="AO68" s="258"/>
      <c r="AP68" s="258"/>
    </row>
    <row r="69" spans="1:47" x14ac:dyDescent="0.2">
      <c r="A69" s="18"/>
      <c r="B69" s="257"/>
      <c r="C69" s="257"/>
      <c r="D69" s="257"/>
      <c r="E69" s="257"/>
      <c r="F69" s="257"/>
      <c r="G69" s="257"/>
      <c r="H69" s="258"/>
      <c r="I69" s="258"/>
      <c r="J69" s="259"/>
      <c r="K69" s="259"/>
      <c r="L69" s="259"/>
      <c r="M69" s="259"/>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9"/>
      <c r="AM69" s="258"/>
      <c r="AN69" s="258"/>
      <c r="AO69" s="258"/>
      <c r="AP69" s="258"/>
    </row>
    <row r="70" spans="1:47" x14ac:dyDescent="0.2">
      <c r="A70" s="18"/>
      <c r="B70" s="257"/>
      <c r="C70" s="257"/>
      <c r="D70" s="257"/>
      <c r="E70" s="257"/>
      <c r="F70" s="257"/>
      <c r="G70" s="257"/>
      <c r="H70" s="258"/>
      <c r="I70" s="258"/>
      <c r="J70" s="259"/>
      <c r="K70" s="259"/>
      <c r="L70" s="259"/>
      <c r="M70" s="259"/>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9"/>
      <c r="AM70" s="258"/>
      <c r="AN70" s="258"/>
      <c r="AO70" s="258"/>
      <c r="AP70" s="258"/>
    </row>
    <row r="71" spans="1:47" x14ac:dyDescent="0.2">
      <c r="A71" s="18"/>
      <c r="B71" s="257"/>
      <c r="C71" s="257"/>
      <c r="D71" s="257"/>
      <c r="E71" s="257"/>
      <c r="F71" s="257"/>
      <c r="G71" s="257"/>
      <c r="H71" s="258"/>
      <c r="I71" s="258"/>
      <c r="J71" s="259"/>
      <c r="K71" s="259"/>
      <c r="L71" s="259"/>
      <c r="M71" s="259"/>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9"/>
      <c r="AM71" s="258"/>
      <c r="AN71" s="258"/>
      <c r="AO71" s="258"/>
      <c r="AP71" s="258"/>
    </row>
    <row r="72" spans="1:47" s="194" customFormat="1" x14ac:dyDescent="0.2">
      <c r="A72" s="18"/>
      <c r="B72" s="257"/>
      <c r="C72" s="257"/>
      <c r="D72" s="257"/>
      <c r="E72" s="257"/>
      <c r="F72" s="257"/>
      <c r="G72" s="257"/>
      <c r="H72" s="258"/>
      <c r="I72" s="258"/>
      <c r="J72" s="259"/>
      <c r="K72" s="259"/>
      <c r="L72" s="259"/>
      <c r="M72" s="259"/>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9"/>
      <c r="AM72" s="258"/>
      <c r="AN72" s="258"/>
      <c r="AO72" s="258"/>
      <c r="AP72" s="258"/>
      <c r="AQ72" s="36"/>
      <c r="AR72" s="36"/>
      <c r="AS72" s="36"/>
      <c r="AT72" s="36"/>
      <c r="AU72" s="36"/>
    </row>
    <row r="73" spans="1:47" x14ac:dyDescent="0.2">
      <c r="A73" s="18"/>
      <c r="B73" s="257"/>
      <c r="C73" s="257"/>
      <c r="D73" s="257"/>
      <c r="E73" s="257"/>
      <c r="F73" s="257"/>
      <c r="G73" s="257"/>
      <c r="H73" s="258"/>
      <c r="I73" s="258"/>
      <c r="J73" s="259"/>
      <c r="K73" s="259"/>
      <c r="L73" s="259"/>
      <c r="M73" s="259"/>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9"/>
      <c r="AM73" s="258"/>
      <c r="AN73" s="258"/>
      <c r="AO73" s="258"/>
      <c r="AP73" s="258"/>
    </row>
    <row r="74" spans="1:47" x14ac:dyDescent="0.2">
      <c r="A74" s="18"/>
      <c r="B74" s="257"/>
      <c r="C74" s="257"/>
      <c r="D74" s="257"/>
      <c r="E74" s="257"/>
      <c r="F74" s="257"/>
      <c r="G74" s="257"/>
      <c r="H74" s="258"/>
      <c r="I74" s="258"/>
      <c r="J74" s="259"/>
      <c r="K74" s="259"/>
      <c r="L74" s="259"/>
      <c r="M74" s="259"/>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9"/>
      <c r="AM74" s="258"/>
      <c r="AN74" s="258"/>
      <c r="AO74" s="258"/>
      <c r="AP74" s="258"/>
    </row>
    <row r="75" spans="1:47" x14ac:dyDescent="0.2">
      <c r="A75" s="18"/>
      <c r="B75" s="257"/>
      <c r="C75" s="257"/>
      <c r="D75" s="257"/>
      <c r="E75" s="257"/>
      <c r="F75" s="257"/>
      <c r="G75" s="257"/>
      <c r="H75" s="258"/>
      <c r="I75" s="258"/>
      <c r="J75" s="259"/>
      <c r="K75" s="259"/>
      <c r="L75" s="259"/>
      <c r="M75" s="259"/>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9"/>
      <c r="AM75" s="258"/>
      <c r="AN75" s="258"/>
      <c r="AO75" s="258"/>
      <c r="AP75" s="258"/>
    </row>
    <row r="76" spans="1:47" s="194" customFormat="1" x14ac:dyDescent="0.2">
      <c r="A76" s="18"/>
      <c r="B76" s="257"/>
      <c r="C76" s="257"/>
      <c r="D76" s="257"/>
      <c r="E76" s="257"/>
      <c r="F76" s="257"/>
      <c r="G76" s="257"/>
      <c r="H76" s="258"/>
      <c r="I76" s="258"/>
      <c r="J76" s="259"/>
      <c r="K76" s="259"/>
      <c r="L76" s="259"/>
      <c r="M76" s="259"/>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9"/>
      <c r="AM76" s="258"/>
      <c r="AN76" s="258"/>
      <c r="AO76" s="258"/>
      <c r="AP76" s="258"/>
      <c r="AQ76" s="36"/>
      <c r="AR76" s="36"/>
      <c r="AS76" s="36"/>
      <c r="AT76" s="36"/>
      <c r="AU76" s="36"/>
    </row>
    <row r="77" spans="1:47" x14ac:dyDescent="0.2">
      <c r="A77" s="18"/>
      <c r="B77" s="257"/>
      <c r="C77" s="257"/>
      <c r="D77" s="257"/>
      <c r="E77" s="257"/>
      <c r="F77" s="257"/>
      <c r="G77" s="257"/>
      <c r="H77" s="258"/>
      <c r="I77" s="258"/>
      <c r="J77" s="259"/>
      <c r="K77" s="259"/>
      <c r="L77" s="259"/>
      <c r="M77" s="259"/>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9"/>
      <c r="AM77" s="258"/>
      <c r="AN77" s="258"/>
      <c r="AO77" s="258"/>
      <c r="AP77" s="258"/>
    </row>
    <row r="78" spans="1:47" s="194" customFormat="1" x14ac:dyDescent="0.2">
      <c r="A78" s="18"/>
      <c r="B78" s="257"/>
      <c r="C78" s="257"/>
      <c r="D78" s="257"/>
      <c r="E78" s="257"/>
      <c r="F78" s="257"/>
      <c r="G78" s="257"/>
      <c r="H78" s="258"/>
      <c r="I78" s="258"/>
      <c r="J78" s="259"/>
      <c r="K78" s="259"/>
      <c r="L78" s="259"/>
      <c r="M78" s="259"/>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9"/>
      <c r="AM78" s="258"/>
      <c r="AN78" s="258"/>
      <c r="AO78" s="258"/>
      <c r="AP78" s="258"/>
      <c r="AQ78" s="36"/>
      <c r="AR78" s="36"/>
      <c r="AS78" s="36"/>
      <c r="AT78" s="36"/>
      <c r="AU78" s="36"/>
    </row>
    <row r="79" spans="1:47" x14ac:dyDescent="0.2">
      <c r="A79" s="18"/>
      <c r="B79" s="257"/>
      <c r="C79" s="257"/>
      <c r="D79" s="257"/>
      <c r="E79" s="257"/>
      <c r="F79" s="257"/>
      <c r="G79" s="257"/>
      <c r="H79" s="258"/>
      <c r="I79" s="258"/>
      <c r="J79" s="259"/>
      <c r="K79" s="259"/>
      <c r="L79" s="259"/>
      <c r="M79" s="259"/>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9"/>
      <c r="AM79" s="258"/>
      <c r="AN79" s="258"/>
      <c r="AO79" s="258"/>
      <c r="AP79" s="258"/>
    </row>
    <row r="80" spans="1:47" x14ac:dyDescent="0.2">
      <c r="A80" s="18"/>
      <c r="B80" s="257"/>
      <c r="C80" s="257"/>
      <c r="D80" s="257"/>
      <c r="E80" s="257"/>
      <c r="F80" s="257"/>
      <c r="G80" s="257"/>
      <c r="H80" s="258"/>
      <c r="I80" s="258"/>
      <c r="J80" s="259"/>
      <c r="K80" s="259"/>
      <c r="L80" s="259"/>
      <c r="M80" s="259"/>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9"/>
      <c r="AM80" s="258"/>
      <c r="AN80" s="258"/>
      <c r="AO80" s="258"/>
      <c r="AP80" s="258"/>
    </row>
    <row r="81" spans="1:42" x14ac:dyDescent="0.2">
      <c r="A81" s="18"/>
      <c r="B81" s="257"/>
      <c r="C81" s="257"/>
      <c r="D81" s="257"/>
      <c r="E81" s="257"/>
      <c r="F81" s="257"/>
      <c r="G81" s="257"/>
      <c r="H81" s="258"/>
      <c r="I81" s="258"/>
      <c r="J81" s="259"/>
      <c r="K81" s="259"/>
      <c r="L81" s="259"/>
      <c r="M81" s="259"/>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9"/>
      <c r="AM81" s="258"/>
      <c r="AN81" s="258"/>
      <c r="AO81" s="258"/>
      <c r="AP81" s="258"/>
    </row>
    <row r="82" spans="1:42" x14ac:dyDescent="0.2">
      <c r="A82" s="18"/>
      <c r="B82" s="257"/>
      <c r="C82" s="257"/>
      <c r="D82" s="257"/>
      <c r="E82" s="257"/>
      <c r="F82" s="257"/>
      <c r="G82" s="257"/>
      <c r="H82" s="258"/>
      <c r="I82" s="258"/>
      <c r="J82" s="259"/>
      <c r="K82" s="259"/>
      <c r="L82" s="259"/>
      <c r="M82" s="259"/>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9"/>
      <c r="AM82" s="258"/>
      <c r="AN82" s="258"/>
      <c r="AO82" s="258"/>
      <c r="AP82" s="258"/>
    </row>
    <row r="83" spans="1:42" x14ac:dyDescent="0.2">
      <c r="A83" s="18"/>
      <c r="AL83" s="259"/>
    </row>
    <row r="84" spans="1:42" x14ac:dyDescent="0.2">
      <c r="A84" s="18"/>
      <c r="AL84" s="259"/>
    </row>
  </sheetData>
  <phoneticPr fontId="2" type="noConversion"/>
  <pageMargins left="0.25" right="0.25" top="0.75" bottom="0.75" header="0.3" footer="0.3"/>
  <pageSetup paperSize="9" scale="61" orientation="landscape" r:id="rId1"/>
  <headerFooter alignWithMargins="0">
    <oddFooter>&amp;CPage &amp;P of &amp;N&amp;R&amp;F&amp;A</oddFooter>
  </headerFooter>
  <ignoredErrors>
    <ignoredError sqref="AQ5:AQ9 AQ10 AQ15:AQ20 AQ25 AQ41 AR5:AR10 AR42 AS5:AS9 AS15:AS21 AR38 AR25:AS25 AR12:AR21 AR22:AR23 AQ27 AR27:AS27 AR4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52"/>
  <sheetViews>
    <sheetView showGridLines="0" view="pageBreakPreview" topLeftCell="A16" zoomScaleNormal="100" zoomScaleSheetLayoutView="100" workbookViewId="0">
      <selection activeCell="AK62" sqref="AK62"/>
    </sheetView>
  </sheetViews>
  <sheetFormatPr defaultRowHeight="12.75" outlineLevelRow="1" outlineLevelCol="1" x14ac:dyDescent="0.2"/>
  <cols>
    <col min="1" max="1" width="38.42578125" style="1" customWidth="1"/>
    <col min="2" max="4" width="6.85546875" style="1" hidden="1" customWidth="1" outlineLevel="1"/>
    <col min="5" max="5" width="6.85546875" style="1" customWidth="1" collapsed="1"/>
    <col min="6" max="8" width="6.85546875" style="1" hidden="1" customWidth="1" outlineLevel="1"/>
    <col min="9" max="9" width="6.85546875" style="1" customWidth="1" collapsed="1"/>
    <col min="10" max="10" width="6.85546875" style="310" hidden="1" customWidth="1" outlineLevel="1"/>
    <col min="11" max="12" width="6.85546875" style="1" hidden="1" customWidth="1" outlineLevel="1"/>
    <col min="13" max="13" width="6.85546875" style="1" customWidth="1" collapsed="1"/>
    <col min="14" max="16" width="6.85546875"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36" width="6.85546875" style="1" customWidth="1"/>
    <col min="37" max="37" width="8" style="1" customWidth="1"/>
    <col min="38" max="38" width="8.85546875" style="50" customWidth="1"/>
    <col min="39" max="48" width="6.28515625" style="1" customWidth="1"/>
    <col min="49" max="16384" width="9.140625" style="1"/>
  </cols>
  <sheetData>
    <row r="2" spans="1:48" x14ac:dyDescent="0.2">
      <c r="A2" s="1" t="s">
        <v>25</v>
      </c>
    </row>
    <row r="4" spans="1:48" x14ac:dyDescent="0.2">
      <c r="A4" s="2" t="s">
        <v>223</v>
      </c>
      <c r="B4" s="3" t="s">
        <v>282</v>
      </c>
      <c r="C4" s="4" t="s">
        <v>283</v>
      </c>
      <c r="D4" s="4" t="s">
        <v>284</v>
      </c>
      <c r="E4" s="3" t="s">
        <v>294</v>
      </c>
      <c r="F4" s="3" t="s">
        <v>285</v>
      </c>
      <c r="G4" s="3" t="s">
        <v>286</v>
      </c>
      <c r="H4" s="4" t="s">
        <v>287</v>
      </c>
      <c r="I4" s="3" t="s">
        <v>288</v>
      </c>
      <c r="J4" s="5" t="s">
        <v>289</v>
      </c>
      <c r="K4" s="3" t="s">
        <v>290</v>
      </c>
      <c r="L4" s="3" t="s">
        <v>291</v>
      </c>
      <c r="M4" s="3" t="s">
        <v>292</v>
      </c>
      <c r="N4" s="4" t="s">
        <v>279</v>
      </c>
      <c r="O4" s="4" t="s">
        <v>280</v>
      </c>
      <c r="P4" s="4" t="s">
        <v>281</v>
      </c>
      <c r="Q4" s="4" t="s">
        <v>183</v>
      </c>
      <c r="R4" s="4" t="s">
        <v>187</v>
      </c>
      <c r="S4" s="4" t="s">
        <v>200</v>
      </c>
      <c r="T4" s="4" t="s">
        <v>203</v>
      </c>
      <c r="U4" s="4" t="s">
        <v>206</v>
      </c>
      <c r="V4" s="4" t="s">
        <v>278</v>
      </c>
      <c r="W4" s="4" t="s">
        <v>211</v>
      </c>
      <c r="X4" s="4" t="s">
        <v>213</v>
      </c>
      <c r="Y4" s="4" t="s">
        <v>215</v>
      </c>
      <c r="Z4" s="4" t="s">
        <v>272</v>
      </c>
      <c r="AA4" s="4" t="s">
        <v>227</v>
      </c>
      <c r="AB4" s="4" t="s">
        <v>237</v>
      </c>
      <c r="AC4" s="4" t="s">
        <v>239</v>
      </c>
      <c r="AD4" s="4" t="s">
        <v>273</v>
      </c>
      <c r="AE4" s="4" t="s">
        <v>274</v>
      </c>
      <c r="AF4" s="4" t="s">
        <v>248</v>
      </c>
      <c r="AG4" s="4" t="s">
        <v>255</v>
      </c>
      <c r="AH4" s="4" t="s">
        <v>275</v>
      </c>
      <c r="AI4" s="4" t="s">
        <v>276</v>
      </c>
      <c r="AJ4" s="4" t="s">
        <v>277</v>
      </c>
      <c r="AK4" s="4" t="s">
        <v>295</v>
      </c>
      <c r="AL4" s="282"/>
      <c r="AM4" s="4">
        <v>2005</v>
      </c>
      <c r="AN4" s="4">
        <v>2006</v>
      </c>
      <c r="AO4" s="4">
        <v>2007</v>
      </c>
      <c r="AP4" s="4">
        <v>2008</v>
      </c>
      <c r="AQ4" s="4">
        <v>2009</v>
      </c>
      <c r="AR4" s="4">
        <v>2010</v>
      </c>
      <c r="AS4" s="4">
        <v>2011</v>
      </c>
      <c r="AT4" s="4">
        <v>2012</v>
      </c>
      <c r="AU4" s="4">
        <v>2013</v>
      </c>
      <c r="AV4" s="4">
        <v>2014</v>
      </c>
    </row>
    <row r="5" spans="1:48" x14ac:dyDescent="0.2">
      <c r="A5" s="7" t="s">
        <v>157</v>
      </c>
      <c r="B5" s="21">
        <v>368.59240999999992</v>
      </c>
      <c r="C5" s="21">
        <v>912.28557000000001</v>
      </c>
      <c r="D5" s="21">
        <v>1386.6619699999999</v>
      </c>
      <c r="E5" s="21">
        <v>1717.4459999999999</v>
      </c>
      <c r="F5" s="21">
        <v>390.27525000000026</v>
      </c>
      <c r="G5" s="21">
        <v>656.5988500000002</v>
      </c>
      <c r="H5" s="21">
        <v>1120.94985</v>
      </c>
      <c r="I5" s="21">
        <v>1677.8440000000001</v>
      </c>
      <c r="J5" s="21">
        <v>182.4</v>
      </c>
      <c r="K5" s="21">
        <v>324</v>
      </c>
      <c r="L5" s="21">
        <v>382</v>
      </c>
      <c r="M5" s="21">
        <v>402.46559999999988</v>
      </c>
      <c r="N5" s="23">
        <f>N7+N9</f>
        <v>398</v>
      </c>
      <c r="O5" s="23">
        <f>O7+O9</f>
        <v>1795</v>
      </c>
      <c r="P5" s="23">
        <f>P7+P9</f>
        <v>2199</v>
      </c>
      <c r="Q5" s="23">
        <v>2552.7953799999996</v>
      </c>
      <c r="R5" s="23">
        <v>287</v>
      </c>
      <c r="S5" s="23">
        <v>678</v>
      </c>
      <c r="T5" s="23">
        <v>1096</v>
      </c>
      <c r="U5" s="23">
        <v>1466.41956</v>
      </c>
      <c r="V5" s="23">
        <v>319.00955000000005</v>
      </c>
      <c r="W5" s="23">
        <f>W7+W9</f>
        <v>1114.8746000000001</v>
      </c>
      <c r="X5" s="23">
        <f>X7+X9</f>
        <v>1689</v>
      </c>
      <c r="Y5" s="23">
        <f>Y7+Y9</f>
        <v>2506.33835</v>
      </c>
      <c r="Z5" s="23">
        <f>Z7+Z9</f>
        <v>481.60075000000001</v>
      </c>
      <c r="AA5" s="23">
        <f>AA7+AA9</f>
        <v>1381.4015789999999</v>
      </c>
      <c r="AB5" s="23">
        <v>2432</v>
      </c>
      <c r="AC5" s="23">
        <v>3943.8604589999995</v>
      </c>
      <c r="AD5" s="23">
        <f>AD7+AD9</f>
        <v>975.51808000000005</v>
      </c>
      <c r="AE5" s="23">
        <f>AE7+AE9</f>
        <v>1945.4934490000001</v>
      </c>
      <c r="AF5" s="23">
        <v>2880.6055110000007</v>
      </c>
      <c r="AG5" s="23">
        <v>3793.7</v>
      </c>
      <c r="AH5" s="23">
        <v>931</v>
      </c>
      <c r="AI5" s="23">
        <v>2226.1800000000003</v>
      </c>
      <c r="AJ5" s="23">
        <v>3045</v>
      </c>
      <c r="AK5" s="23">
        <v>4267</v>
      </c>
      <c r="AL5" s="23"/>
      <c r="AM5" s="21">
        <v>2122.1082100000012</v>
      </c>
      <c r="AN5" s="21">
        <v>1717.4459999999999</v>
      </c>
      <c r="AO5" s="21">
        <v>1677.8440000000001</v>
      </c>
      <c r="AP5" s="21">
        <v>402.46559999999988</v>
      </c>
      <c r="AQ5" s="21">
        <f>Q5</f>
        <v>2552.7953799999996</v>
      </c>
      <c r="AR5" s="21">
        <f>U5</f>
        <v>1466.41956</v>
      </c>
      <c r="AS5" s="21">
        <f>Y5</f>
        <v>2506.33835</v>
      </c>
      <c r="AT5" s="21">
        <f>AC5</f>
        <v>3943.8604589999995</v>
      </c>
      <c r="AU5" s="21">
        <f>AG5</f>
        <v>3793.7</v>
      </c>
      <c r="AV5" s="21">
        <f>AK5</f>
        <v>4267</v>
      </c>
    </row>
    <row r="6" spans="1:48" s="15" customFormat="1" x14ac:dyDescent="0.2">
      <c r="A6" s="9" t="s">
        <v>137</v>
      </c>
      <c r="B6" s="10"/>
      <c r="C6" s="10"/>
      <c r="D6" s="10"/>
      <c r="E6" s="14"/>
      <c r="F6" s="10"/>
      <c r="G6" s="10"/>
      <c r="H6" s="12"/>
      <c r="I6" s="14"/>
      <c r="J6" s="311"/>
      <c r="K6" s="10"/>
      <c r="L6" s="14"/>
      <c r="M6" s="14"/>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14"/>
      <c r="AN6" s="14">
        <v>-0.19068877265217365</v>
      </c>
      <c r="AO6" s="14">
        <v>-2.3058658030587154E-2</v>
      </c>
      <c r="AP6" s="14">
        <v>-0.76012930880344065</v>
      </c>
      <c r="AQ6" s="14">
        <f t="shared" ref="AQ6:AV6" si="0">AQ5/AP5-1</f>
        <v>5.3428908706731715</v>
      </c>
      <c r="AR6" s="14">
        <f t="shared" si="0"/>
        <v>-0.42556321925026352</v>
      </c>
      <c r="AS6" s="14">
        <f t="shared" si="0"/>
        <v>0.70915501836323025</v>
      </c>
      <c r="AT6" s="14">
        <f t="shared" si="0"/>
        <v>0.57355468745869831</v>
      </c>
      <c r="AU6" s="14">
        <f t="shared" si="0"/>
        <v>-3.80744857890013E-2</v>
      </c>
      <c r="AV6" s="14">
        <f t="shared" si="0"/>
        <v>0.12475946964704643</v>
      </c>
    </row>
    <row r="7" spans="1:48" x14ac:dyDescent="0.2">
      <c r="A7" s="312" t="s">
        <v>29</v>
      </c>
      <c r="B7" s="21">
        <v>222.24710999999991</v>
      </c>
      <c r="C7" s="21">
        <v>637.88641999999993</v>
      </c>
      <c r="D7" s="21">
        <v>873.60621999999989</v>
      </c>
      <c r="E7" s="23">
        <v>974.85</v>
      </c>
      <c r="F7" s="21">
        <v>110.33825000000024</v>
      </c>
      <c r="G7" s="21">
        <v>123.64430000000027</v>
      </c>
      <c r="H7" s="21">
        <v>269.64740000000018</v>
      </c>
      <c r="I7" s="23">
        <v>536.83699999999999</v>
      </c>
      <c r="J7" s="23">
        <v>21.4</v>
      </c>
      <c r="K7" s="21">
        <v>29</v>
      </c>
      <c r="L7" s="21">
        <v>34</v>
      </c>
      <c r="M7" s="23">
        <v>34.792000000000002</v>
      </c>
      <c r="N7" s="23">
        <v>182</v>
      </c>
      <c r="O7" s="23">
        <v>1105</v>
      </c>
      <c r="P7" s="23">
        <v>1122</v>
      </c>
      <c r="Q7" s="23">
        <v>1140.3482799999999</v>
      </c>
      <c r="R7" s="23">
        <v>57</v>
      </c>
      <c r="S7" s="23">
        <v>144</v>
      </c>
      <c r="T7" s="23">
        <v>206</v>
      </c>
      <c r="U7" s="23">
        <v>271.53576000000004</v>
      </c>
      <c r="V7" s="23">
        <v>47.468249999999998</v>
      </c>
      <c r="W7" s="23">
        <v>553.25700000000006</v>
      </c>
      <c r="X7" s="23">
        <v>869</v>
      </c>
      <c r="Y7" s="23">
        <v>1407.5463500000001</v>
      </c>
      <c r="Z7" s="23">
        <v>233.67705000000001</v>
      </c>
      <c r="AA7" s="23">
        <v>867.40157899999986</v>
      </c>
      <c r="AB7" s="23">
        <v>1609</v>
      </c>
      <c r="AC7" s="23">
        <v>2823.6794989999999</v>
      </c>
      <c r="AD7" s="23">
        <v>766.41303000000005</v>
      </c>
      <c r="AE7" s="23">
        <v>1516.0820990000002</v>
      </c>
      <c r="AF7" s="23">
        <v>2237.3659610000004</v>
      </c>
      <c r="AG7" s="23">
        <v>2940.5166410000002</v>
      </c>
      <c r="AH7" s="23">
        <v>681</v>
      </c>
      <c r="AI7" s="23">
        <v>1751.18</v>
      </c>
      <c r="AJ7" s="23">
        <v>2417</v>
      </c>
      <c r="AK7" s="23">
        <v>3388</v>
      </c>
      <c r="AL7" s="23"/>
      <c r="AM7" s="21">
        <v>1440.8681100000013</v>
      </c>
      <c r="AN7" s="21">
        <v>974.85</v>
      </c>
      <c r="AO7" s="21">
        <v>536.83699999999999</v>
      </c>
      <c r="AP7" s="23">
        <v>34.792000000000002</v>
      </c>
      <c r="AQ7" s="23">
        <f>Q7</f>
        <v>1140.3482799999999</v>
      </c>
      <c r="AR7" s="23">
        <f>U7</f>
        <v>271.53576000000004</v>
      </c>
      <c r="AS7" s="23">
        <f>Y7</f>
        <v>1407.5463500000001</v>
      </c>
      <c r="AT7" s="23">
        <f>AC7</f>
        <v>2823.6794989999999</v>
      </c>
      <c r="AU7" s="23">
        <f>AG7</f>
        <v>2940.5166410000002</v>
      </c>
      <c r="AV7" s="23">
        <f>AK7</f>
        <v>3388</v>
      </c>
    </row>
    <row r="8" spans="1:48" s="15" customFormat="1" x14ac:dyDescent="0.2">
      <c r="A8" s="9" t="s">
        <v>137</v>
      </c>
      <c r="B8" s="233"/>
      <c r="C8" s="233"/>
      <c r="D8" s="233"/>
      <c r="E8" s="313"/>
      <c r="F8" s="233"/>
      <c r="G8" s="233"/>
      <c r="H8" s="234"/>
      <c r="I8" s="313"/>
      <c r="J8" s="240"/>
      <c r="K8" s="233"/>
      <c r="L8" s="234"/>
      <c r="M8" s="313"/>
      <c r="N8" s="235"/>
      <c r="O8" s="235"/>
      <c r="P8" s="235"/>
      <c r="AL8" s="235"/>
      <c r="AM8" s="14"/>
      <c r="AN8" s="14">
        <v>-0.32342870715627181</v>
      </c>
      <c r="AO8" s="14">
        <v>-0.44931322767605275</v>
      </c>
      <c r="AP8" s="14">
        <v>-0.93519075622581904</v>
      </c>
      <c r="AQ8" s="14">
        <f t="shared" ref="AQ8:AV8" si="1">AQ7/AP7-1</f>
        <v>31.776163485858817</v>
      </c>
      <c r="AR8" s="14">
        <f t="shared" si="1"/>
        <v>-0.76188348352662927</v>
      </c>
      <c r="AS8" s="14">
        <f t="shared" si="1"/>
        <v>4.1836500282688363</v>
      </c>
      <c r="AT8" s="14">
        <f t="shared" si="1"/>
        <v>1.0061005443977029</v>
      </c>
      <c r="AU8" s="14">
        <f t="shared" si="1"/>
        <v>4.1377621660453334E-2</v>
      </c>
      <c r="AV8" s="14">
        <f t="shared" si="1"/>
        <v>0.15217848209416052</v>
      </c>
    </row>
    <row r="9" spans="1:48" x14ac:dyDescent="0.2">
      <c r="A9" s="312" t="s">
        <v>30</v>
      </c>
      <c r="B9" s="21">
        <v>146.34530000000001</v>
      </c>
      <c r="C9" s="21">
        <v>274.39915000000002</v>
      </c>
      <c r="D9" s="21">
        <v>513.05574999999999</v>
      </c>
      <c r="E9" s="23">
        <v>742.596</v>
      </c>
      <c r="F9" s="21">
        <v>279.93700000000001</v>
      </c>
      <c r="G9" s="21">
        <v>532.95454999999993</v>
      </c>
      <c r="H9" s="21">
        <v>851.30244999999991</v>
      </c>
      <c r="I9" s="23">
        <v>1141.0070000000001</v>
      </c>
      <c r="J9" s="23">
        <v>161</v>
      </c>
      <c r="K9" s="21">
        <v>295</v>
      </c>
      <c r="L9" s="21">
        <v>348</v>
      </c>
      <c r="M9" s="23">
        <v>367.67359999999985</v>
      </c>
      <c r="N9" s="23">
        <v>216</v>
      </c>
      <c r="O9" s="23">
        <v>690</v>
      </c>
      <c r="P9" s="23">
        <v>1077</v>
      </c>
      <c r="Q9" s="23">
        <v>1412.4470999999999</v>
      </c>
      <c r="R9" s="23">
        <v>229.95560000000003</v>
      </c>
      <c r="S9" s="23">
        <v>534</v>
      </c>
      <c r="T9" s="23">
        <v>890</v>
      </c>
      <c r="U9" s="23">
        <v>1194.8838000000001</v>
      </c>
      <c r="V9" s="23">
        <v>271.54130000000004</v>
      </c>
      <c r="W9" s="23">
        <v>561.61760000000004</v>
      </c>
      <c r="X9" s="23">
        <v>820</v>
      </c>
      <c r="Y9" s="23">
        <v>1098.7920000000001</v>
      </c>
      <c r="Z9" s="23">
        <v>247.9237</v>
      </c>
      <c r="AA9" s="23">
        <v>514</v>
      </c>
      <c r="AB9" s="23">
        <v>824</v>
      </c>
      <c r="AC9" s="23">
        <v>1120.1809599999999</v>
      </c>
      <c r="AD9" s="23">
        <v>209.10505000000001</v>
      </c>
      <c r="AE9" s="23">
        <v>429.41134999999997</v>
      </c>
      <c r="AF9" s="23">
        <v>643.23955000000001</v>
      </c>
      <c r="AG9" s="23">
        <v>853.13609999999994</v>
      </c>
      <c r="AH9" s="23">
        <v>250</v>
      </c>
      <c r="AI9" s="23">
        <v>475</v>
      </c>
      <c r="AJ9" s="23">
        <v>628</v>
      </c>
      <c r="AK9" s="23">
        <v>879</v>
      </c>
      <c r="AL9" s="23"/>
      <c r="AM9" s="21">
        <v>681.2401000000001</v>
      </c>
      <c r="AN9" s="21">
        <v>742.596</v>
      </c>
      <c r="AO9" s="21">
        <v>1141.0070000000001</v>
      </c>
      <c r="AP9" s="21">
        <v>367.67359999999985</v>
      </c>
      <c r="AQ9" s="21">
        <f>Q9</f>
        <v>1412.4470999999999</v>
      </c>
      <c r="AR9" s="21">
        <f>U9</f>
        <v>1194.8838000000001</v>
      </c>
      <c r="AS9" s="21">
        <f>Y9</f>
        <v>1098.7920000000001</v>
      </c>
      <c r="AT9" s="21">
        <f>AC9</f>
        <v>1120.1809599999999</v>
      </c>
      <c r="AU9" s="21">
        <f>AG9</f>
        <v>853.13609999999994</v>
      </c>
      <c r="AV9" s="21">
        <f>AK9</f>
        <v>879</v>
      </c>
    </row>
    <row r="10" spans="1:48" s="15" customFormat="1" x14ac:dyDescent="0.2">
      <c r="A10" s="9" t="s">
        <v>137</v>
      </c>
      <c r="B10" s="10"/>
      <c r="C10" s="10"/>
      <c r="D10" s="10"/>
      <c r="E10" s="314"/>
      <c r="F10" s="10"/>
      <c r="G10" s="10"/>
      <c r="H10" s="12"/>
      <c r="I10" s="314"/>
      <c r="J10" s="24"/>
      <c r="K10" s="10"/>
      <c r="L10" s="14"/>
      <c r="M10" s="314"/>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14"/>
      <c r="AN10" s="14">
        <v>9.006501525673527E-2</v>
      </c>
      <c r="AO10" s="14">
        <v>0.53651110428819981</v>
      </c>
      <c r="AP10" s="14">
        <v>-0.67776394009852714</v>
      </c>
      <c r="AQ10" s="14">
        <f t="shared" ref="AQ10:AV10" si="2">AQ9/AP9-1</f>
        <v>2.8415787807446615</v>
      </c>
      <c r="AR10" s="14">
        <f t="shared" si="2"/>
        <v>-0.15403288378021363</v>
      </c>
      <c r="AS10" s="14">
        <f t="shared" si="2"/>
        <v>-8.0419367975362865E-2</v>
      </c>
      <c r="AT10" s="14">
        <f t="shared" si="2"/>
        <v>1.9465886173179126E-2</v>
      </c>
      <c r="AU10" s="14">
        <f t="shared" si="2"/>
        <v>-0.23839439299164666</v>
      </c>
      <c r="AV10" s="14">
        <f t="shared" si="2"/>
        <v>3.0316264896069978E-2</v>
      </c>
    </row>
    <row r="11" spans="1:48" x14ac:dyDescent="0.2">
      <c r="A11" s="18"/>
      <c r="B11" s="19"/>
      <c r="C11" s="19"/>
      <c r="D11" s="19"/>
      <c r="E11" s="19"/>
      <c r="F11" s="19"/>
      <c r="G11" s="19"/>
      <c r="H11" s="19"/>
      <c r="I11" s="19"/>
      <c r="J11" s="44"/>
      <c r="K11" s="19"/>
      <c r="L11" s="19"/>
      <c r="M11" s="19"/>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19"/>
      <c r="AN11" s="19"/>
      <c r="AO11" s="19"/>
      <c r="AP11" s="19"/>
      <c r="AQ11" s="19"/>
      <c r="AR11" s="19"/>
      <c r="AS11" s="19"/>
      <c r="AT11" s="19"/>
      <c r="AU11" s="19"/>
      <c r="AV11" s="19"/>
    </row>
    <row r="12" spans="1:48" x14ac:dyDescent="0.2">
      <c r="A12" s="20" t="s">
        <v>224</v>
      </c>
      <c r="B12" s="3" t="s">
        <v>282</v>
      </c>
      <c r="C12" s="4" t="s">
        <v>283</v>
      </c>
      <c r="D12" s="4" t="s">
        <v>284</v>
      </c>
      <c r="E12" s="3" t="s">
        <v>294</v>
      </c>
      <c r="F12" s="3" t="s">
        <v>285</v>
      </c>
      <c r="G12" s="3" t="s">
        <v>286</v>
      </c>
      <c r="H12" s="4" t="s">
        <v>287</v>
      </c>
      <c r="I12" s="3" t="s">
        <v>288</v>
      </c>
      <c r="J12" s="5" t="s">
        <v>289</v>
      </c>
      <c r="K12" s="3" t="s">
        <v>290</v>
      </c>
      <c r="L12" s="3" t="s">
        <v>291</v>
      </c>
      <c r="M12" s="3" t="s">
        <v>292</v>
      </c>
      <c r="N12" s="4" t="s">
        <v>279</v>
      </c>
      <c r="O12" s="4" t="s">
        <v>280</v>
      </c>
      <c r="P12" s="4" t="s">
        <v>281</v>
      </c>
      <c r="Q12" s="4" t="s">
        <v>183</v>
      </c>
      <c r="R12" s="4" t="s">
        <v>187</v>
      </c>
      <c r="S12" s="4" t="s">
        <v>200</v>
      </c>
      <c r="T12" s="4" t="s">
        <v>203</v>
      </c>
      <c r="U12" s="4" t="s">
        <v>206</v>
      </c>
      <c r="V12" s="4" t="s">
        <v>278</v>
      </c>
      <c r="W12" s="4" t="s">
        <v>211</v>
      </c>
      <c r="X12" s="4" t="s">
        <v>213</v>
      </c>
      <c r="Y12" s="4" t="s">
        <v>215</v>
      </c>
      <c r="Z12" s="4" t="s">
        <v>272</v>
      </c>
      <c r="AA12" s="4" t="s">
        <v>227</v>
      </c>
      <c r="AB12" s="4" t="s">
        <v>237</v>
      </c>
      <c r="AC12" s="4" t="s">
        <v>239</v>
      </c>
      <c r="AD12" s="4" t="s">
        <v>273</v>
      </c>
      <c r="AE12" s="4" t="s">
        <v>274</v>
      </c>
      <c r="AF12" s="4" t="s">
        <v>248</v>
      </c>
      <c r="AG12" s="4" t="s">
        <v>255</v>
      </c>
      <c r="AH12" s="4" t="s">
        <v>275</v>
      </c>
      <c r="AI12" s="4" t="s">
        <v>276</v>
      </c>
      <c r="AJ12" s="4" t="s">
        <v>277</v>
      </c>
      <c r="AK12" s="4" t="s">
        <v>295</v>
      </c>
      <c r="AL12" s="282"/>
      <c r="AM12" s="4">
        <v>2005</v>
      </c>
      <c r="AN12" s="4">
        <v>2006</v>
      </c>
      <c r="AO12" s="4">
        <v>2007</v>
      </c>
      <c r="AP12" s="4">
        <v>2008</v>
      </c>
      <c r="AQ12" s="4">
        <v>2009</v>
      </c>
      <c r="AR12" s="4">
        <v>2010</v>
      </c>
      <c r="AS12" s="4">
        <v>2011</v>
      </c>
      <c r="AT12" s="4">
        <v>2012</v>
      </c>
      <c r="AU12" s="4">
        <v>2013</v>
      </c>
      <c r="AV12" s="4">
        <v>2014</v>
      </c>
    </row>
    <row r="13" spans="1:48" x14ac:dyDescent="0.2">
      <c r="A13" s="7" t="s">
        <v>23</v>
      </c>
      <c r="B13" s="21">
        <v>25.363202724503306</v>
      </c>
      <c r="C13" s="21">
        <v>29.173385150825009</v>
      </c>
      <c r="D13" s="21">
        <v>32.241182840808456</v>
      </c>
      <c r="E13" s="21">
        <v>32.698820387231585</v>
      </c>
      <c r="F13" s="21">
        <v>38.403466025241187</v>
      </c>
      <c r="G13" s="21">
        <v>33.915058377037006</v>
      </c>
      <c r="H13" s="22">
        <v>38.569002535523055</v>
      </c>
      <c r="I13" s="21">
        <v>41.156414240303882</v>
      </c>
      <c r="J13" s="21">
        <v>47.789961475577059</v>
      </c>
      <c r="K13" s="21">
        <v>55.688821085112998</v>
      </c>
      <c r="L13" s="21">
        <v>57.708084701189819</v>
      </c>
      <c r="M13" s="21">
        <v>55.876545232733363</v>
      </c>
      <c r="N13" s="23">
        <v>32.724451948402461</v>
      </c>
      <c r="O13" s="23">
        <v>33.328941536946161</v>
      </c>
      <c r="P13" s="23">
        <v>31.646572065661829</v>
      </c>
      <c r="Q13" s="23">
        <v>30.660192844846929</v>
      </c>
      <c r="R13" s="23">
        <v>39.102088690320244</v>
      </c>
      <c r="S13" s="23">
        <v>52.6065210791879</v>
      </c>
      <c r="T13" s="23">
        <v>54.03275515416945</v>
      </c>
      <c r="U13" s="23">
        <v>55.114946219076764</v>
      </c>
      <c r="V13" s="23">
        <v>65.857144019656658</v>
      </c>
      <c r="W13" s="23">
        <v>89.324544437723787</v>
      </c>
      <c r="X13" s="23">
        <v>83.248718932543483</v>
      </c>
      <c r="Y13" s="23">
        <v>91.906503665545983</v>
      </c>
      <c r="Z13" s="23">
        <v>77.861720953890398</v>
      </c>
      <c r="AA13" s="23">
        <v>86.103594169077979</v>
      </c>
      <c r="AB13" s="23">
        <v>84.308255858206977</v>
      </c>
      <c r="AC13" s="23">
        <v>82.353411624995346</v>
      </c>
      <c r="AD13" s="23">
        <v>86.408883202521892</v>
      </c>
      <c r="AE13" s="23">
        <v>88.789899386711653</v>
      </c>
      <c r="AF13" s="23">
        <v>85.042015860364202</v>
      </c>
      <c r="AG13" s="23">
        <v>86.050299585233716</v>
      </c>
      <c r="AH13" s="23">
        <v>85.884524487800988</v>
      </c>
      <c r="AI13" s="23">
        <v>84.020145658771469</v>
      </c>
      <c r="AJ13" s="23">
        <v>80.96682031613922</v>
      </c>
      <c r="AK13" s="23">
        <v>72.927694274259409</v>
      </c>
      <c r="AL13" s="23"/>
      <c r="AM13" s="21">
        <v>36.474036298775509</v>
      </c>
      <c r="AN13" s="21">
        <v>32.698820387231585</v>
      </c>
      <c r="AO13" s="21">
        <v>41.156414240303882</v>
      </c>
      <c r="AP13" s="21">
        <v>55.876545232733363</v>
      </c>
      <c r="AQ13" s="21">
        <f>Q13</f>
        <v>30.660192844846929</v>
      </c>
      <c r="AR13" s="21">
        <f>U13</f>
        <v>55.114946219076764</v>
      </c>
      <c r="AS13" s="21">
        <f>Y13</f>
        <v>91.906503665545983</v>
      </c>
      <c r="AT13" s="21">
        <f>AC13</f>
        <v>82.353411624995346</v>
      </c>
      <c r="AU13" s="21">
        <f>AG13</f>
        <v>86.050299585233716</v>
      </c>
      <c r="AV13" s="21">
        <f>AK13</f>
        <v>72.927694274259409</v>
      </c>
    </row>
    <row r="14" spans="1:48" s="15" customFormat="1" x14ac:dyDescent="0.2">
      <c r="A14" s="9" t="s">
        <v>137</v>
      </c>
      <c r="B14" s="10"/>
      <c r="C14" s="10"/>
      <c r="D14" s="10"/>
      <c r="E14" s="14"/>
      <c r="F14" s="10"/>
      <c r="G14" s="10"/>
      <c r="H14" s="12"/>
      <c r="I14" s="14"/>
      <c r="J14" s="315"/>
      <c r="K14" s="14"/>
      <c r="L14" s="14"/>
      <c r="M14" s="14"/>
      <c r="W14" s="1"/>
      <c r="X14" s="1"/>
      <c r="Y14" s="1"/>
      <c r="Z14" s="1"/>
      <c r="AA14" s="1"/>
      <c r="AB14" s="1"/>
      <c r="AC14" s="1"/>
      <c r="AD14" s="1"/>
      <c r="AE14" s="1"/>
      <c r="AF14" s="1"/>
      <c r="AG14" s="1"/>
      <c r="AH14" s="1"/>
      <c r="AI14" s="1"/>
      <c r="AJ14" s="1"/>
      <c r="AK14" s="1"/>
      <c r="AL14" s="316"/>
      <c r="AM14" s="14"/>
      <c r="AN14" s="14">
        <v>-0.10350419900389973</v>
      </c>
      <c r="AO14" s="14">
        <v>0.25865134438840065</v>
      </c>
      <c r="AP14" s="14">
        <v>0.35766310705499382</v>
      </c>
      <c r="AQ14" s="14">
        <f t="shared" ref="AQ14:AV14" si="3">AQ13/AP13-1</f>
        <v>-0.45128689117870335</v>
      </c>
      <c r="AR14" s="14">
        <f t="shared" si="3"/>
        <v>0.79760598695451312</v>
      </c>
      <c r="AS14" s="14">
        <f t="shared" si="3"/>
        <v>0.66754229061979342</v>
      </c>
      <c r="AT14" s="14">
        <f t="shared" si="3"/>
        <v>-0.10394359114470275</v>
      </c>
      <c r="AU14" s="14">
        <f t="shared" si="3"/>
        <v>4.4890525933188208E-2</v>
      </c>
      <c r="AV14" s="14">
        <f t="shared" si="3"/>
        <v>-0.15249924026093864</v>
      </c>
    </row>
    <row r="15" spans="1:48" x14ac:dyDescent="0.2">
      <c r="A15" s="312" t="s">
        <v>29</v>
      </c>
      <c r="B15" s="21">
        <v>30.128741978212854</v>
      </c>
      <c r="C15" s="21">
        <v>33.396039055175315</v>
      </c>
      <c r="D15" s="21">
        <v>38.00658133229873</v>
      </c>
      <c r="E15" s="21">
        <v>39.413760226366605</v>
      </c>
      <c r="F15" s="21">
        <v>64.798379174664021</v>
      </c>
      <c r="G15" s="21">
        <v>60.696192761167609</v>
      </c>
      <c r="H15" s="22">
        <v>64.256312391508573</v>
      </c>
      <c r="I15" s="21">
        <v>62.704929631886493</v>
      </c>
      <c r="J15" s="23">
        <v>68.454368598347557</v>
      </c>
      <c r="K15" s="21">
        <v>77.700844461753604</v>
      </c>
      <c r="L15" s="21">
        <v>79.599865637308085</v>
      </c>
      <c r="M15" s="21">
        <v>78.104699999999994</v>
      </c>
      <c r="N15" s="21">
        <v>45.572553161528369</v>
      </c>
      <c r="O15" s="21">
        <v>40.682151063944815</v>
      </c>
      <c r="P15" s="21">
        <v>41.51008589838559</v>
      </c>
      <c r="Q15" s="21">
        <v>42.609550061118227</v>
      </c>
      <c r="R15" s="21">
        <v>67.585988433928961</v>
      </c>
      <c r="S15" s="21">
        <v>79.241344686177513</v>
      </c>
      <c r="T15" s="21">
        <v>83.881623600264092</v>
      </c>
      <c r="U15" s="21">
        <v>84.470712493857178</v>
      </c>
      <c r="V15" s="21">
        <v>92.504089472109754</v>
      </c>
      <c r="W15" s="21">
        <v>115.63801677316282</v>
      </c>
      <c r="X15" s="21">
        <v>110.91845729813491</v>
      </c>
      <c r="Y15" s="21">
        <v>115.10417010497807</v>
      </c>
      <c r="Z15" s="21">
        <v>96.192166035605069</v>
      </c>
      <c r="AA15" s="21">
        <v>101.31990048047517</v>
      </c>
      <c r="AB15" s="21">
        <v>96.780053178108759</v>
      </c>
      <c r="AC15" s="21">
        <v>91.948171411763539</v>
      </c>
      <c r="AD15" s="21">
        <v>92.524828658434743</v>
      </c>
      <c r="AE15" s="21">
        <v>95.789722755224815</v>
      </c>
      <c r="AF15" s="21">
        <v>91.890881957939399</v>
      </c>
      <c r="AG15" s="21">
        <v>93.075940060469435</v>
      </c>
      <c r="AH15" s="21">
        <v>94.905471021347253</v>
      </c>
      <c r="AI15" s="21">
        <v>90.231386266584678</v>
      </c>
      <c r="AJ15" s="21">
        <v>86.43417418383028</v>
      </c>
      <c r="AK15" s="21">
        <v>77.693520474752631</v>
      </c>
      <c r="AM15" s="21">
        <v>44.760725730266238</v>
      </c>
      <c r="AN15" s="21">
        <v>39.413760226366605</v>
      </c>
      <c r="AO15" s="21">
        <v>62.704929631886493</v>
      </c>
      <c r="AP15" s="21">
        <v>78.104699999999994</v>
      </c>
      <c r="AQ15" s="21">
        <f>Q15</f>
        <v>42.609550061118227</v>
      </c>
      <c r="AR15" s="21">
        <f>U15</f>
        <v>84.470712493857178</v>
      </c>
      <c r="AS15" s="21">
        <f>Y15</f>
        <v>115.10417010497807</v>
      </c>
      <c r="AT15" s="21">
        <f>AC15</f>
        <v>91.948171411763539</v>
      </c>
      <c r="AU15" s="21">
        <f>AG15</f>
        <v>93.075940060469435</v>
      </c>
      <c r="AV15" s="21">
        <f>AK15</f>
        <v>77.693520474752631</v>
      </c>
    </row>
    <row r="16" spans="1:48" s="15" customFormat="1" x14ac:dyDescent="0.2">
      <c r="A16" s="9" t="s">
        <v>137</v>
      </c>
      <c r="B16" s="10"/>
      <c r="C16" s="10"/>
      <c r="D16" s="10"/>
      <c r="E16" s="14"/>
      <c r="F16" s="10"/>
      <c r="G16" s="10"/>
      <c r="H16" s="12"/>
      <c r="I16" s="14"/>
      <c r="J16" s="315"/>
      <c r="K16" s="14"/>
      <c r="L16" s="14"/>
      <c r="M16" s="14"/>
      <c r="N16" s="240"/>
      <c r="O16" s="240"/>
      <c r="P16" s="240"/>
      <c r="Q16" s="240"/>
      <c r="R16" s="240"/>
      <c r="S16" s="240"/>
      <c r="T16" s="240"/>
      <c r="U16" s="240"/>
      <c r="V16" s="240"/>
      <c r="W16" s="212"/>
      <c r="X16" s="212"/>
      <c r="Y16" s="212"/>
      <c r="Z16" s="212"/>
      <c r="AA16" s="212"/>
      <c r="AB16" s="212"/>
      <c r="AC16" s="212"/>
      <c r="AD16" s="212"/>
      <c r="AE16" s="212"/>
      <c r="AF16" s="212"/>
      <c r="AG16" s="212"/>
      <c r="AH16" s="212"/>
      <c r="AI16" s="212"/>
      <c r="AJ16" s="212"/>
      <c r="AK16" s="212"/>
      <c r="AL16" s="240"/>
      <c r="AM16" s="14"/>
      <c r="AN16" s="14">
        <v>-0.11945663115743743</v>
      </c>
      <c r="AO16" s="14">
        <v>0.59094004915417342</v>
      </c>
      <c r="AP16" s="14">
        <v>0.24559106370932704</v>
      </c>
      <c r="AQ16" s="14">
        <f t="shared" ref="AQ16:AV16" si="4">AQ15/AP15-1</f>
        <v>-0.454456005066043</v>
      </c>
      <c r="AR16" s="14">
        <f t="shared" si="4"/>
        <v>0.98243615275669871</v>
      </c>
      <c r="AS16" s="14">
        <f t="shared" si="4"/>
        <v>0.36265181986417594</v>
      </c>
      <c r="AT16" s="14">
        <f t="shared" si="4"/>
        <v>-0.20117428128012771</v>
      </c>
      <c r="AU16" s="14">
        <f t="shared" si="4"/>
        <v>1.2265264565790135E-2</v>
      </c>
      <c r="AV16" s="14">
        <f t="shared" si="4"/>
        <v>-0.16526741041479864</v>
      </c>
    </row>
    <row r="17" spans="1:48" x14ac:dyDescent="0.2">
      <c r="A17" s="312" t="s">
        <v>30</v>
      </c>
      <c r="B17" s="21">
        <v>18.126022393269547</v>
      </c>
      <c r="C17" s="21">
        <v>19.357124488410282</v>
      </c>
      <c r="D17" s="21">
        <v>22.424144472279274</v>
      </c>
      <c r="E17" s="21">
        <v>23.883718902466278</v>
      </c>
      <c r="F17" s="21">
        <v>27.999809038814565</v>
      </c>
      <c r="G17" s="21">
        <v>27.701893269183497</v>
      </c>
      <c r="H17" s="22">
        <v>30.432627131386873</v>
      </c>
      <c r="I17" s="21">
        <v>31.017966047373399</v>
      </c>
      <c r="J17" s="23">
        <v>45.043263882860991</v>
      </c>
      <c r="K17" s="21">
        <v>53.524927261646631</v>
      </c>
      <c r="L17" s="21">
        <v>55.569232540764467</v>
      </c>
      <c r="M17" s="21">
        <v>53.773150004559064</v>
      </c>
      <c r="N17" s="23">
        <v>21.898737037342674</v>
      </c>
      <c r="O17" s="23">
        <v>21.553149468346881</v>
      </c>
      <c r="P17" s="23">
        <v>21.370933699537343</v>
      </c>
      <c r="Q17" s="23">
        <v>21.012694809047158</v>
      </c>
      <c r="R17" s="23">
        <v>32.065832557655021</v>
      </c>
      <c r="S17" s="23">
        <v>45.424096735730032</v>
      </c>
      <c r="T17" s="23">
        <v>47.123915940803727</v>
      </c>
      <c r="U17" s="23">
        <v>48.443887237605196</v>
      </c>
      <c r="V17" s="23">
        <v>61.198980165858345</v>
      </c>
      <c r="W17" s="212">
        <v>63.402791337593037</v>
      </c>
      <c r="X17" s="212">
        <v>59.249456064428479</v>
      </c>
      <c r="Y17" s="212">
        <v>62.190423893086631</v>
      </c>
      <c r="Z17" s="212">
        <v>60.584613795994265</v>
      </c>
      <c r="AA17" s="212">
        <v>60.425620148795765</v>
      </c>
      <c r="AB17" s="212">
        <v>59.954952596408503</v>
      </c>
      <c r="AC17" s="212">
        <v>58.167563556548494</v>
      </c>
      <c r="AD17" s="212">
        <v>63.992684798031398</v>
      </c>
      <c r="AE17" s="212">
        <v>64.07628409646675</v>
      </c>
      <c r="AF17" s="212">
        <v>61.219755742556416</v>
      </c>
      <c r="AG17" s="212">
        <v>61.834922072649519</v>
      </c>
      <c r="AH17" s="212">
        <v>61.311466130420996</v>
      </c>
      <c r="AI17" s="212">
        <v>61.121197600686635</v>
      </c>
      <c r="AJ17" s="212">
        <v>59.924472707525716</v>
      </c>
      <c r="AK17" s="212">
        <v>54.558389192039783</v>
      </c>
      <c r="AL17" s="23"/>
      <c r="AM17" s="21">
        <v>18.947137134576217</v>
      </c>
      <c r="AN17" s="21">
        <v>23.883718902466278</v>
      </c>
      <c r="AO17" s="21">
        <v>31.017966047373399</v>
      </c>
      <c r="AP17" s="21">
        <v>53.773150004559064</v>
      </c>
      <c r="AQ17" s="21">
        <f>Q17</f>
        <v>21.012694809047158</v>
      </c>
      <c r="AR17" s="21">
        <f>R17</f>
        <v>32.065832557655021</v>
      </c>
      <c r="AS17" s="21">
        <f>Y17</f>
        <v>62.190423893086631</v>
      </c>
      <c r="AT17" s="21">
        <f>AC17</f>
        <v>58.167563556548494</v>
      </c>
      <c r="AU17" s="21">
        <f>AG17</f>
        <v>61.834922072649519</v>
      </c>
      <c r="AV17" s="21">
        <f>AK17</f>
        <v>54.558389192039783</v>
      </c>
    </row>
    <row r="18" spans="1:48" s="15" customFormat="1" x14ac:dyDescent="0.2">
      <c r="A18" s="9" t="s">
        <v>137</v>
      </c>
      <c r="B18" s="10"/>
      <c r="C18" s="10"/>
      <c r="D18" s="10"/>
      <c r="E18" s="14"/>
      <c r="F18" s="10"/>
      <c r="G18" s="10"/>
      <c r="H18" s="12"/>
      <c r="I18" s="14"/>
      <c r="J18" s="317"/>
      <c r="K18" s="14"/>
      <c r="L18" s="14"/>
      <c r="M18" s="14"/>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14"/>
      <c r="AN18" s="14">
        <v>0.26054499594460645</v>
      </c>
      <c r="AO18" s="14">
        <v>0.29870754944157474</v>
      </c>
      <c r="AP18" s="14">
        <v>0.73361302679975604</v>
      </c>
      <c r="AQ18" s="14">
        <f t="shared" ref="AQ18:AV18" si="5">AQ17/AP17-1</f>
        <v>-0.60923444493644818</v>
      </c>
      <c r="AR18" s="14">
        <f t="shared" si="5"/>
        <v>0.52602190480817623</v>
      </c>
      <c r="AS18" s="14">
        <f t="shared" si="5"/>
        <v>0.9394607572177327</v>
      </c>
      <c r="AT18" s="14">
        <f t="shared" si="5"/>
        <v>-6.4686170067821958E-2</v>
      </c>
      <c r="AU18" s="14">
        <f t="shared" si="5"/>
        <v>6.3048171383966345E-2</v>
      </c>
      <c r="AV18" s="14">
        <f t="shared" si="5"/>
        <v>-0.11767675347048345</v>
      </c>
    </row>
    <row r="19" spans="1:48" x14ac:dyDescent="0.2">
      <c r="A19" s="18"/>
      <c r="B19" s="27"/>
      <c r="C19" s="27"/>
      <c r="D19" s="27"/>
      <c r="E19" s="19"/>
      <c r="F19" s="27"/>
      <c r="G19" s="27"/>
      <c r="H19" s="28"/>
      <c r="I19" s="19"/>
      <c r="J19" s="26"/>
      <c r="K19" s="27"/>
      <c r="L19" s="19"/>
      <c r="M19" s="19"/>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19"/>
      <c r="AN19" s="19"/>
      <c r="AO19" s="19"/>
      <c r="AP19" s="19"/>
      <c r="AQ19" s="19"/>
      <c r="AR19" s="19"/>
      <c r="AS19" s="19"/>
      <c r="AT19" s="19"/>
      <c r="AU19" s="19"/>
      <c r="AV19" s="19"/>
    </row>
    <row r="20" spans="1:48" x14ac:dyDescent="0.2">
      <c r="A20" s="2" t="s">
        <v>1</v>
      </c>
      <c r="B20" s="3" t="s">
        <v>282</v>
      </c>
      <c r="C20" s="4" t="s">
        <v>283</v>
      </c>
      <c r="D20" s="4" t="s">
        <v>284</v>
      </c>
      <c r="E20" s="3" t="s">
        <v>294</v>
      </c>
      <c r="F20" s="3" t="s">
        <v>285</v>
      </c>
      <c r="G20" s="3" t="s">
        <v>286</v>
      </c>
      <c r="H20" s="4" t="s">
        <v>287</v>
      </c>
      <c r="I20" s="3" t="s">
        <v>288</v>
      </c>
      <c r="J20" s="5" t="s">
        <v>289</v>
      </c>
      <c r="K20" s="3" t="s">
        <v>290</v>
      </c>
      <c r="L20" s="3" t="s">
        <v>291</v>
      </c>
      <c r="M20" s="3" t="s">
        <v>292</v>
      </c>
      <c r="N20" s="4" t="s">
        <v>279</v>
      </c>
      <c r="O20" s="4" t="s">
        <v>280</v>
      </c>
      <c r="P20" s="4" t="s">
        <v>281</v>
      </c>
      <c r="Q20" s="4" t="s">
        <v>183</v>
      </c>
      <c r="R20" s="4" t="s">
        <v>187</v>
      </c>
      <c r="S20" s="4" t="s">
        <v>200</v>
      </c>
      <c r="T20" s="4" t="s">
        <v>203</v>
      </c>
      <c r="U20" s="4" t="s">
        <v>206</v>
      </c>
      <c r="V20" s="4" t="s">
        <v>278</v>
      </c>
      <c r="W20" s="4" t="s">
        <v>211</v>
      </c>
      <c r="X20" s="4" t="s">
        <v>213</v>
      </c>
      <c r="Y20" s="4" t="s">
        <v>215</v>
      </c>
      <c r="Z20" s="4" t="s">
        <v>272</v>
      </c>
      <c r="AA20" s="4" t="s">
        <v>227</v>
      </c>
      <c r="AB20" s="4" t="s">
        <v>237</v>
      </c>
      <c r="AC20" s="4" t="s">
        <v>239</v>
      </c>
      <c r="AD20" s="4" t="s">
        <v>273</v>
      </c>
      <c r="AE20" s="4" t="s">
        <v>274</v>
      </c>
      <c r="AF20" s="4" t="s">
        <v>248</v>
      </c>
      <c r="AG20" s="4" t="s">
        <v>255</v>
      </c>
      <c r="AH20" s="4" t="s">
        <v>275</v>
      </c>
      <c r="AI20" s="4" t="s">
        <v>276</v>
      </c>
      <c r="AJ20" s="4" t="s">
        <v>277</v>
      </c>
      <c r="AK20" s="4" t="s">
        <v>295</v>
      </c>
      <c r="AL20" s="282"/>
      <c r="AM20" s="4">
        <v>2005</v>
      </c>
      <c r="AN20" s="4">
        <v>2006</v>
      </c>
      <c r="AO20" s="4">
        <v>2007</v>
      </c>
      <c r="AP20" s="4">
        <v>2008</v>
      </c>
      <c r="AQ20" s="4">
        <v>2009</v>
      </c>
      <c r="AR20" s="4">
        <v>2010</v>
      </c>
      <c r="AS20" s="4">
        <v>2011</v>
      </c>
      <c r="AT20" s="4">
        <v>2012</v>
      </c>
      <c r="AU20" s="4">
        <v>2013</v>
      </c>
      <c r="AV20" s="4">
        <v>2014</v>
      </c>
    </row>
    <row r="21" spans="1:48" x14ac:dyDescent="0.2">
      <c r="A21" s="7" t="s">
        <v>26</v>
      </c>
      <c r="B21" s="8">
        <v>16.388999999999999</v>
      </c>
      <c r="C21" s="21">
        <v>43.104999999999997</v>
      </c>
      <c r="D21" s="21">
        <v>70.409000000000006</v>
      </c>
      <c r="E21" s="21">
        <v>90.998000000000005</v>
      </c>
      <c r="F21" s="21">
        <v>23.17</v>
      </c>
      <c r="G21" s="21">
        <v>43.101999999999997</v>
      </c>
      <c r="H21" s="22">
        <v>71.495000000000005</v>
      </c>
      <c r="I21" s="21">
        <v>105.44199999999999</v>
      </c>
      <c r="J21" s="23">
        <v>20.888999999999999</v>
      </c>
      <c r="K21" s="21">
        <v>41.198</v>
      </c>
      <c r="L21" s="21">
        <v>50.694000000000003</v>
      </c>
      <c r="M21" s="21">
        <v>62.886000000000003</v>
      </c>
      <c r="N21" s="212">
        <v>12.481999999999999</v>
      </c>
      <c r="O21" s="212">
        <v>60.935000000000002</v>
      </c>
      <c r="P21" s="212">
        <v>72.542000000000002</v>
      </c>
      <c r="Q21" s="212">
        <v>84.997</v>
      </c>
      <c r="R21" s="212">
        <v>12.907</v>
      </c>
      <c r="S21" s="212">
        <v>37.503999999999998</v>
      </c>
      <c r="T21" s="212">
        <v>60.54</v>
      </c>
      <c r="U21" s="212">
        <v>81.364000000000004</v>
      </c>
      <c r="V21" s="212">
        <v>20.094999999999999</v>
      </c>
      <c r="W21" s="212">
        <v>55.844999999999999</v>
      </c>
      <c r="X21" s="212">
        <v>147.75800000000001</v>
      </c>
      <c r="Y21" s="212">
        <v>148.858</v>
      </c>
      <c r="Z21" s="212">
        <v>35.668999999999997</v>
      </c>
      <c r="AA21" s="212">
        <v>121.176</v>
      </c>
      <c r="AB21" s="212">
        <v>214.172</v>
      </c>
      <c r="AC21" s="212">
        <v>340.77600000000001</v>
      </c>
      <c r="AD21" s="212">
        <v>91.980999999999995</v>
      </c>
      <c r="AE21" s="212">
        <v>192.399</v>
      </c>
      <c r="AF21" s="212">
        <v>278.38200000000001</v>
      </c>
      <c r="AG21" s="212">
        <v>372.21</v>
      </c>
      <c r="AH21" s="212">
        <v>87.74</v>
      </c>
      <c r="AI21" s="212">
        <v>205.19300000000001</v>
      </c>
      <c r="AJ21" s="212">
        <v>275.577</v>
      </c>
      <c r="AK21" s="212">
        <v>345.935</v>
      </c>
      <c r="AL21" s="212"/>
      <c r="AM21" s="8">
        <v>94.661000000000001</v>
      </c>
      <c r="AN21" s="21">
        <v>90.998000000000005</v>
      </c>
      <c r="AO21" s="22">
        <v>105.44199999999999</v>
      </c>
      <c r="AP21" s="21">
        <v>62.886000000000003</v>
      </c>
      <c r="AQ21" s="21">
        <f>Q21</f>
        <v>84.997</v>
      </c>
      <c r="AR21" s="21">
        <f>U21</f>
        <v>81.364000000000004</v>
      </c>
      <c r="AS21" s="21">
        <f>Y21</f>
        <v>148.858</v>
      </c>
      <c r="AT21" s="21">
        <f>AC21</f>
        <v>340.77600000000001</v>
      </c>
      <c r="AU21" s="21">
        <f>AG21</f>
        <v>372.21</v>
      </c>
      <c r="AV21" s="21">
        <f>AK21</f>
        <v>345.935</v>
      </c>
    </row>
    <row r="22" spans="1:48" s="15" customFormat="1" x14ac:dyDescent="0.2">
      <c r="A22" s="9" t="s">
        <v>137</v>
      </c>
      <c r="B22" s="10"/>
      <c r="C22" s="11"/>
      <c r="D22" s="11"/>
      <c r="E22" s="12"/>
      <c r="F22" s="11"/>
      <c r="G22" s="11"/>
      <c r="H22" s="11"/>
      <c r="I22" s="12"/>
      <c r="J22" s="13"/>
      <c r="K22" s="11"/>
      <c r="L22" s="12"/>
      <c r="M22" s="12"/>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10"/>
      <c r="AN22" s="14">
        <v>-3.8695978280389953E-2</v>
      </c>
      <c r="AO22" s="14">
        <v>0.15872876326952223</v>
      </c>
      <c r="AP22" s="14">
        <v>-0.40359628990345398</v>
      </c>
      <c r="AQ22" s="14">
        <f t="shared" ref="AQ22:AV22" si="6">AQ21/AP21-1</f>
        <v>0.35160449066564881</v>
      </c>
      <c r="AR22" s="14">
        <f t="shared" si="6"/>
        <v>-4.2742685035942363E-2</v>
      </c>
      <c r="AS22" s="14">
        <f t="shared" si="6"/>
        <v>0.82953148812742739</v>
      </c>
      <c r="AT22" s="14">
        <f t="shared" si="6"/>
        <v>1.2892689677410685</v>
      </c>
      <c r="AU22" s="14">
        <f t="shared" si="6"/>
        <v>9.2242411437425176E-2</v>
      </c>
      <c r="AV22" s="14">
        <f t="shared" si="6"/>
        <v>-7.0591870180811811E-2</v>
      </c>
    </row>
    <row r="23" spans="1:48" x14ac:dyDescent="0.2">
      <c r="A23" s="18" t="s">
        <v>138</v>
      </c>
      <c r="B23" s="23" t="s">
        <v>139</v>
      </c>
      <c r="C23" s="23" t="s">
        <v>139</v>
      </c>
      <c r="D23" s="23" t="s">
        <v>139</v>
      </c>
      <c r="E23" s="23">
        <v>71.795000000000002</v>
      </c>
      <c r="F23" s="23" t="s">
        <v>139</v>
      </c>
      <c r="G23" s="23" t="s">
        <v>139</v>
      </c>
      <c r="H23" s="23" t="s">
        <v>139</v>
      </c>
      <c r="I23" s="23">
        <v>80.305999999999997</v>
      </c>
      <c r="J23" s="23" t="s">
        <v>139</v>
      </c>
      <c r="K23" s="23" t="s">
        <v>139</v>
      </c>
      <c r="L23" s="23" t="s">
        <v>139</v>
      </c>
      <c r="M23" s="23">
        <v>77.494</v>
      </c>
      <c r="N23" s="23" t="s">
        <v>139</v>
      </c>
      <c r="O23" s="23" t="s">
        <v>139</v>
      </c>
      <c r="P23" s="23" t="s">
        <v>139</v>
      </c>
      <c r="Q23" s="23">
        <v>81.231999999999999</v>
      </c>
      <c r="R23" s="23" t="s">
        <v>139</v>
      </c>
      <c r="S23" s="23" t="s">
        <v>139</v>
      </c>
      <c r="T23" s="23" t="s">
        <v>139</v>
      </c>
      <c r="U23" s="23">
        <v>57.058999999999997</v>
      </c>
      <c r="V23" s="23" t="s">
        <v>139</v>
      </c>
      <c r="W23" s="23" t="s">
        <v>139</v>
      </c>
      <c r="X23" s="23" t="s">
        <v>139</v>
      </c>
      <c r="Y23" s="23">
        <v>47.625</v>
      </c>
      <c r="Z23" s="23" t="s">
        <v>139</v>
      </c>
      <c r="AA23" s="23" t="s">
        <v>139</v>
      </c>
      <c r="AB23" s="23" t="s">
        <v>139</v>
      </c>
      <c r="AC23" s="23">
        <v>67.478999999999999</v>
      </c>
      <c r="AD23" s="23" t="s">
        <v>139</v>
      </c>
      <c r="AE23" s="23" t="s">
        <v>139</v>
      </c>
      <c r="AF23" s="23" t="s">
        <v>139</v>
      </c>
      <c r="AG23" s="23">
        <v>71.481999999999999</v>
      </c>
      <c r="AH23" s="23" t="s">
        <v>139</v>
      </c>
      <c r="AI23" s="23" t="s">
        <v>139</v>
      </c>
      <c r="AJ23" s="23" t="s">
        <v>139</v>
      </c>
      <c r="AK23" s="23">
        <v>63.621000000000002</v>
      </c>
      <c r="AL23" s="23"/>
      <c r="AM23" s="8">
        <v>68.358999999999995</v>
      </c>
      <c r="AN23" s="21">
        <f>E23</f>
        <v>71.795000000000002</v>
      </c>
      <c r="AO23" s="22">
        <f>I23</f>
        <v>80.305999999999997</v>
      </c>
      <c r="AP23" s="23">
        <f>M23</f>
        <v>77.494</v>
      </c>
      <c r="AQ23" s="23">
        <f>Q23</f>
        <v>81.231999999999999</v>
      </c>
      <c r="AR23" s="23">
        <f>U23</f>
        <v>57.058999999999997</v>
      </c>
      <c r="AS23" s="23">
        <f>Y23</f>
        <v>47.625</v>
      </c>
      <c r="AT23" s="23">
        <f>AC23</f>
        <v>67.478999999999999</v>
      </c>
      <c r="AU23" s="23">
        <f>AG23</f>
        <v>71.481999999999999</v>
      </c>
      <c r="AV23" s="23">
        <f>AK23</f>
        <v>63.621000000000002</v>
      </c>
    </row>
    <row r="24" spans="1:48" s="15" customFormat="1" x14ac:dyDescent="0.2">
      <c r="A24" s="9" t="s">
        <v>137</v>
      </c>
      <c r="B24" s="10"/>
      <c r="C24" s="11"/>
      <c r="D24" s="11"/>
      <c r="E24" s="12"/>
      <c r="F24" s="11"/>
      <c r="G24" s="11"/>
      <c r="H24" s="11"/>
      <c r="I24" s="12"/>
      <c r="J24" s="13"/>
      <c r="K24" s="11"/>
      <c r="L24" s="12"/>
      <c r="M24" s="12"/>
      <c r="N24" s="6"/>
      <c r="O24" s="6"/>
      <c r="P24" s="6"/>
      <c r="Q24" s="6"/>
      <c r="R24" s="6"/>
      <c r="S24" s="6"/>
      <c r="T24" s="6"/>
      <c r="U24" s="6"/>
      <c r="V24" s="6"/>
      <c r="W24" s="6"/>
      <c r="X24" s="6"/>
      <c r="Y24" s="6"/>
      <c r="Z24" s="6"/>
      <c r="AA24" s="6"/>
      <c r="AB24" s="6"/>
      <c r="AC24" s="6"/>
      <c r="AD24" s="6"/>
      <c r="AE24" s="6"/>
      <c r="AF24" s="6"/>
      <c r="AG24" s="6"/>
      <c r="AH24" s="6"/>
      <c r="AI24" s="6"/>
      <c r="AJ24" s="6"/>
      <c r="AK24" s="6"/>
      <c r="AL24" s="6"/>
      <c r="AM24" s="10"/>
      <c r="AN24" s="14">
        <v>5.0264047162773107E-2</v>
      </c>
      <c r="AO24" s="14">
        <v>0.11854585973953613</v>
      </c>
      <c r="AP24" s="14">
        <v>-3.5016063556894794E-2</v>
      </c>
      <c r="AQ24" s="14">
        <f t="shared" ref="AQ24:AV24" si="7">AQ23/AP23-1</f>
        <v>4.823599246393262E-2</v>
      </c>
      <c r="AR24" s="14">
        <f t="shared" si="7"/>
        <v>-0.29757977151861337</v>
      </c>
      <c r="AS24" s="14">
        <f t="shared" si="7"/>
        <v>-0.16533763297639281</v>
      </c>
      <c r="AT24" s="14">
        <f t="shared" si="7"/>
        <v>0.4168818897637796</v>
      </c>
      <c r="AU24" s="14">
        <f t="shared" si="7"/>
        <v>5.9322159486655091E-2</v>
      </c>
      <c r="AV24" s="14">
        <f t="shared" si="7"/>
        <v>-0.10997174113762898</v>
      </c>
    </row>
    <row r="25" spans="1:48" x14ac:dyDescent="0.2">
      <c r="A25" s="18" t="s">
        <v>3</v>
      </c>
      <c r="B25" s="8">
        <v>29.847000000000001</v>
      </c>
      <c r="C25" s="29">
        <v>89.048000000000002</v>
      </c>
      <c r="D25" s="29">
        <v>183.267</v>
      </c>
      <c r="E25" s="21">
        <v>297.286</v>
      </c>
      <c r="F25" s="29">
        <v>124.23099999999999</v>
      </c>
      <c r="G25" s="29">
        <v>254.797</v>
      </c>
      <c r="H25" s="29">
        <v>384.5</v>
      </c>
      <c r="I25" s="21">
        <v>523.245</v>
      </c>
      <c r="J25" s="30">
        <v>156.38999999999999</v>
      </c>
      <c r="K25" s="29">
        <v>315.56200000000001</v>
      </c>
      <c r="L25" s="21">
        <v>474.29300000000001</v>
      </c>
      <c r="M25" s="21">
        <v>548.47299999999996</v>
      </c>
      <c r="N25" s="23">
        <v>23.977</v>
      </c>
      <c r="O25" s="23">
        <v>73.132000000000005</v>
      </c>
      <c r="P25" s="23">
        <v>121.172</v>
      </c>
      <c r="Q25" s="23">
        <v>159.78</v>
      </c>
      <c r="R25" s="23">
        <v>62.292000000000002</v>
      </c>
      <c r="S25" s="23">
        <v>225.893</v>
      </c>
      <c r="T25" s="23">
        <v>388.697</v>
      </c>
      <c r="U25" s="23">
        <v>544.54399999999998</v>
      </c>
      <c r="V25" s="23">
        <v>196.37200000000001</v>
      </c>
      <c r="W25" s="23">
        <v>478.44400000000002</v>
      </c>
      <c r="X25" s="23">
        <v>746.26599999999996</v>
      </c>
      <c r="Y25" s="23">
        <v>991.85400000000004</v>
      </c>
      <c r="Z25" s="23">
        <v>202.636</v>
      </c>
      <c r="AA25" s="23">
        <v>432.774</v>
      </c>
      <c r="AB25" s="23">
        <v>605.50400000000002</v>
      </c>
      <c r="AC25" s="23">
        <v>793.09400000000005</v>
      </c>
      <c r="AD25" s="23">
        <v>196.86699999999999</v>
      </c>
      <c r="AE25" s="23">
        <v>405.53500000000003</v>
      </c>
      <c r="AF25" s="23">
        <v>578.09699999999998</v>
      </c>
      <c r="AG25" s="23">
        <v>788.30799999999999</v>
      </c>
      <c r="AH25" s="23">
        <v>192.81100000000001</v>
      </c>
      <c r="AI25" s="23">
        <v>361.214</v>
      </c>
      <c r="AJ25" s="23">
        <v>488.46600000000001</v>
      </c>
      <c r="AK25" s="23">
        <v>576.13099999999997</v>
      </c>
      <c r="AL25" s="23"/>
      <c r="AM25" s="8">
        <v>277.47899999999998</v>
      </c>
      <c r="AN25" s="29">
        <f>E25</f>
        <v>297.286</v>
      </c>
      <c r="AO25" s="29">
        <f>I25</f>
        <v>523.245</v>
      </c>
      <c r="AP25" s="21">
        <f>M25</f>
        <v>548.47299999999996</v>
      </c>
      <c r="AQ25" s="21">
        <f>Q25</f>
        <v>159.78</v>
      </c>
      <c r="AR25" s="21">
        <f>U25</f>
        <v>544.54399999999998</v>
      </c>
      <c r="AS25" s="21">
        <f>Y25</f>
        <v>991.85400000000004</v>
      </c>
      <c r="AT25" s="21">
        <f>AC25</f>
        <v>793.09400000000005</v>
      </c>
      <c r="AU25" s="21">
        <f>AG25</f>
        <v>788.30799999999999</v>
      </c>
      <c r="AV25" s="21">
        <f>AK25</f>
        <v>576.13099999999997</v>
      </c>
    </row>
    <row r="26" spans="1:48" s="15" customFormat="1" x14ac:dyDescent="0.2">
      <c r="A26" s="9" t="s">
        <v>137</v>
      </c>
      <c r="B26" s="10"/>
      <c r="C26" s="11"/>
      <c r="D26" s="11"/>
      <c r="E26" s="12"/>
      <c r="F26" s="11"/>
      <c r="G26" s="11"/>
      <c r="H26" s="11"/>
      <c r="I26" s="12"/>
      <c r="J26" s="31"/>
      <c r="K26" s="11"/>
      <c r="L26" s="12"/>
      <c r="M26" s="12"/>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10"/>
      <c r="AN26" s="14">
        <v>7.1381978456027451E-2</v>
      </c>
      <c r="AO26" s="14">
        <v>0.76007279185699961</v>
      </c>
      <c r="AP26" s="14">
        <v>4.8214507544267038E-2</v>
      </c>
      <c r="AQ26" s="14">
        <f t="shared" ref="AQ26:AV26" si="8">AQ25/AP25-1</f>
        <v>-0.70868210467971982</v>
      </c>
      <c r="AR26" s="14">
        <f t="shared" si="8"/>
        <v>2.4080861184128173</v>
      </c>
      <c r="AS26" s="14">
        <f t="shared" si="8"/>
        <v>0.82143958982194287</v>
      </c>
      <c r="AT26" s="14">
        <f t="shared" si="8"/>
        <v>-0.20039239646157603</v>
      </c>
      <c r="AU26" s="14">
        <f t="shared" si="8"/>
        <v>-6.034593629506757E-3</v>
      </c>
      <c r="AV26" s="14">
        <f t="shared" si="8"/>
        <v>-0.26915494958823205</v>
      </c>
    </row>
    <row r="27" spans="1:48" s="36" customFormat="1" x14ac:dyDescent="0.2">
      <c r="A27" s="18" t="s">
        <v>2</v>
      </c>
      <c r="B27" s="21" t="s">
        <v>141</v>
      </c>
      <c r="C27" s="21" t="s">
        <v>141</v>
      </c>
      <c r="D27" s="21" t="s">
        <v>141</v>
      </c>
      <c r="E27" s="23">
        <v>381.12700000000001</v>
      </c>
      <c r="F27" s="21">
        <v>0</v>
      </c>
      <c r="G27" s="21">
        <v>0</v>
      </c>
      <c r="H27" s="21">
        <v>0</v>
      </c>
      <c r="I27" s="23">
        <v>603.55100000000004</v>
      </c>
      <c r="J27" s="23">
        <v>0</v>
      </c>
      <c r="K27" s="23">
        <v>0</v>
      </c>
      <c r="L27" s="23">
        <v>0</v>
      </c>
      <c r="M27" s="23">
        <v>625.96699999999998</v>
      </c>
      <c r="N27" s="21">
        <v>0</v>
      </c>
      <c r="O27" s="21">
        <v>0</v>
      </c>
      <c r="P27" s="21">
        <v>0</v>
      </c>
      <c r="Q27" s="21">
        <v>241.012</v>
      </c>
      <c r="R27" s="21">
        <v>0</v>
      </c>
      <c r="S27" s="21">
        <v>0</v>
      </c>
      <c r="T27" s="21">
        <v>0</v>
      </c>
      <c r="U27" s="21">
        <v>601.60299999999995</v>
      </c>
      <c r="V27" s="21">
        <v>0</v>
      </c>
      <c r="W27" s="21">
        <v>0</v>
      </c>
      <c r="X27" s="21">
        <v>0</v>
      </c>
      <c r="Y27" s="21">
        <v>1039.4795713212238</v>
      </c>
      <c r="Z27" s="21">
        <v>216.739</v>
      </c>
      <c r="AA27" s="21">
        <v>463.85399999999998</v>
      </c>
      <c r="AB27" s="21">
        <v>654.07000000000005</v>
      </c>
      <c r="AC27" s="21">
        <v>860.57299999999998</v>
      </c>
      <c r="AD27" s="21">
        <v>215.02</v>
      </c>
      <c r="AE27" s="21">
        <v>442.00099999999998</v>
      </c>
      <c r="AF27" s="21">
        <v>631.57399999999996</v>
      </c>
      <c r="AG27" s="21">
        <v>859.79</v>
      </c>
      <c r="AH27" s="21">
        <v>208.53100000000001</v>
      </c>
      <c r="AI27" s="21">
        <v>393.73599999999999</v>
      </c>
      <c r="AJ27" s="21">
        <v>538.53599999999994</v>
      </c>
      <c r="AK27" s="21">
        <v>639.75199999999995</v>
      </c>
      <c r="AL27" s="30"/>
      <c r="AM27" s="21">
        <v>345.83800000000002</v>
      </c>
      <c r="AN27" s="21">
        <f>E27</f>
        <v>381.12700000000001</v>
      </c>
      <c r="AO27" s="21">
        <f>I27</f>
        <v>603.55100000000004</v>
      </c>
      <c r="AP27" s="23">
        <f>M27</f>
        <v>625.96699999999998</v>
      </c>
      <c r="AQ27" s="21">
        <f>Q27</f>
        <v>241.012</v>
      </c>
      <c r="AR27" s="21">
        <f>U27</f>
        <v>601.60299999999995</v>
      </c>
      <c r="AS27" s="21">
        <f>Y27</f>
        <v>1039.4795713212238</v>
      </c>
      <c r="AT27" s="21">
        <f>AC27</f>
        <v>860.57299999999998</v>
      </c>
      <c r="AU27" s="21">
        <f>AG27</f>
        <v>859.79</v>
      </c>
      <c r="AV27" s="21">
        <f>AK27</f>
        <v>639.75199999999995</v>
      </c>
    </row>
    <row r="28" spans="1:48" s="36" customFormat="1" x14ac:dyDescent="0.2">
      <c r="A28" s="9" t="s">
        <v>137</v>
      </c>
      <c r="B28" s="267"/>
      <c r="C28" s="267"/>
      <c r="D28" s="267"/>
      <c r="E28" s="266"/>
      <c r="F28" s="267"/>
      <c r="G28" s="267"/>
      <c r="H28" s="267"/>
      <c r="I28" s="266"/>
      <c r="J28" s="268"/>
      <c r="K28" s="268"/>
      <c r="L28" s="266"/>
      <c r="M28" s="266"/>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35"/>
      <c r="AM28" s="267"/>
      <c r="AN28" s="262">
        <f t="shared" ref="AN28:AV28" si="9">AN27/AM27-1</f>
        <v>0.10203910501448643</v>
      </c>
      <c r="AO28" s="262">
        <f t="shared" si="9"/>
        <v>0.5835954944152475</v>
      </c>
      <c r="AP28" s="262">
        <f t="shared" si="9"/>
        <v>3.7140191963893621E-2</v>
      </c>
      <c r="AQ28" s="262">
        <f t="shared" si="9"/>
        <v>-0.61497650834628659</v>
      </c>
      <c r="AR28" s="262">
        <f t="shared" si="9"/>
        <v>1.4961537184870459</v>
      </c>
      <c r="AS28" s="262">
        <f t="shared" si="9"/>
        <v>0.72784971371689289</v>
      </c>
      <c r="AT28" s="262">
        <f t="shared" si="9"/>
        <v>-0.17211167612830125</v>
      </c>
      <c r="AU28" s="262">
        <f t="shared" si="9"/>
        <v>-9.0985889633998784E-4</v>
      </c>
      <c r="AV28" s="262">
        <f t="shared" si="9"/>
        <v>-0.25592063178217939</v>
      </c>
    </row>
    <row r="29" spans="1:48" s="36" customFormat="1" x14ac:dyDescent="0.2">
      <c r="A29" s="328" t="s">
        <v>267</v>
      </c>
      <c r="B29" s="21" t="s">
        <v>141</v>
      </c>
      <c r="C29" s="21" t="s">
        <v>141</v>
      </c>
      <c r="D29" s="21" t="s">
        <v>141</v>
      </c>
      <c r="E29" s="23">
        <v>242.54900000000001</v>
      </c>
      <c r="F29" s="21">
        <v>0</v>
      </c>
      <c r="G29" s="21">
        <v>0</v>
      </c>
      <c r="H29" s="21">
        <v>0</v>
      </c>
      <c r="I29" s="23">
        <v>443.108</v>
      </c>
      <c r="J29" s="23">
        <v>0</v>
      </c>
      <c r="K29" s="23">
        <v>0</v>
      </c>
      <c r="L29" s="23">
        <v>0</v>
      </c>
      <c r="M29" s="23">
        <v>485.17599999999999</v>
      </c>
      <c r="N29" s="21">
        <v>0</v>
      </c>
      <c r="O29" s="21">
        <v>0</v>
      </c>
      <c r="P29" s="21">
        <v>0</v>
      </c>
      <c r="Q29" s="21">
        <v>140.124</v>
      </c>
      <c r="R29" s="21">
        <v>0</v>
      </c>
      <c r="S29" s="21">
        <v>0</v>
      </c>
      <c r="T29" s="21">
        <v>0</v>
      </c>
      <c r="U29" s="21">
        <v>428.173</v>
      </c>
      <c r="V29" s="21">
        <v>0</v>
      </c>
      <c r="W29" s="21">
        <v>0</v>
      </c>
      <c r="X29" s="21">
        <v>0</v>
      </c>
      <c r="Y29" s="21">
        <v>840.54266821158853</v>
      </c>
      <c r="Z29" s="21">
        <v>126.807</v>
      </c>
      <c r="AA29" s="21">
        <v>365.03100000000001</v>
      </c>
      <c r="AB29" s="21">
        <v>482.21100000000001</v>
      </c>
      <c r="AC29" s="21">
        <v>618.05600000000004</v>
      </c>
      <c r="AD29" s="21">
        <v>163.97200000000001</v>
      </c>
      <c r="AE29" s="21">
        <v>375.27300000000002</v>
      </c>
      <c r="AF29" s="21">
        <v>518.83900000000006</v>
      </c>
      <c r="AG29" s="21">
        <v>762.32799999999997</v>
      </c>
      <c r="AH29" s="21">
        <v>204.339</v>
      </c>
      <c r="AI29" s="21">
        <v>303.58199999999999</v>
      </c>
      <c r="AJ29" s="21">
        <v>475.52</v>
      </c>
      <c r="AK29" s="21">
        <v>755.82100000000003</v>
      </c>
      <c r="AL29" s="30"/>
      <c r="AM29" s="21">
        <v>218.05600000000001</v>
      </c>
      <c r="AN29" s="21">
        <f>E29</f>
        <v>242.54900000000001</v>
      </c>
      <c r="AO29" s="21">
        <f>I29</f>
        <v>443.108</v>
      </c>
      <c r="AP29" s="23">
        <f>M29</f>
        <v>485.17599999999999</v>
      </c>
      <c r="AQ29" s="21">
        <f>Q29</f>
        <v>140.124</v>
      </c>
      <c r="AR29" s="21">
        <f>U29</f>
        <v>428.173</v>
      </c>
      <c r="AS29" s="21">
        <f>Y29</f>
        <v>840.54266821158853</v>
      </c>
      <c r="AT29" s="21">
        <f>AC29</f>
        <v>618.05600000000004</v>
      </c>
      <c r="AU29" s="21">
        <f>AG29</f>
        <v>762.32799999999997</v>
      </c>
      <c r="AV29" s="21">
        <f>AK29</f>
        <v>755.82100000000003</v>
      </c>
    </row>
    <row r="30" spans="1:48" s="36" customFormat="1" x14ac:dyDescent="0.2">
      <c r="A30" s="9" t="s">
        <v>137</v>
      </c>
      <c r="B30" s="267"/>
      <c r="C30" s="267"/>
      <c r="D30" s="267"/>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35"/>
      <c r="AM30" s="267"/>
      <c r="AN30" s="262">
        <f t="shared" ref="AN30:AV30" si="10">AN29/AM29-1</f>
        <v>0.11232435704589649</v>
      </c>
      <c r="AO30" s="262">
        <f t="shared" si="10"/>
        <v>0.82688034170415037</v>
      </c>
      <c r="AP30" s="262">
        <f t="shared" si="10"/>
        <v>9.4938480009388204E-2</v>
      </c>
      <c r="AQ30" s="262">
        <f t="shared" si="10"/>
        <v>-0.71118934159974945</v>
      </c>
      <c r="AR30" s="262">
        <f t="shared" si="10"/>
        <v>2.0556721189803318</v>
      </c>
      <c r="AS30" s="262">
        <f t="shared" si="10"/>
        <v>0.96309124632237086</v>
      </c>
      <c r="AT30" s="262">
        <f t="shared" si="10"/>
        <v>-0.26469407993882144</v>
      </c>
      <c r="AU30" s="262">
        <f t="shared" si="10"/>
        <v>0.23342868607375378</v>
      </c>
      <c r="AV30" s="262">
        <f t="shared" si="10"/>
        <v>-8.5356959209158534E-3</v>
      </c>
    </row>
    <row r="31" spans="1:48" s="36" customFormat="1" x14ac:dyDescent="0.2">
      <c r="A31" s="328" t="s">
        <v>268</v>
      </c>
      <c r="B31" s="21" t="s">
        <v>141</v>
      </c>
      <c r="C31" s="21" t="s">
        <v>141</v>
      </c>
      <c r="D31" s="21" t="s">
        <v>141</v>
      </c>
      <c r="E31" s="23"/>
      <c r="F31" s="21"/>
      <c r="G31" s="21"/>
      <c r="H31" s="21"/>
      <c r="I31" s="23"/>
      <c r="J31" s="23"/>
      <c r="K31" s="23"/>
      <c r="L31" s="23"/>
      <c r="M31" s="23"/>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30"/>
      <c r="AM31" s="21"/>
      <c r="AN31" s="21"/>
      <c r="AO31" s="21"/>
      <c r="AP31" s="23"/>
      <c r="AQ31" s="21"/>
      <c r="AR31" s="21"/>
      <c r="AS31" s="21"/>
      <c r="AT31" s="21"/>
      <c r="AU31" s="21"/>
      <c r="AV31" s="21"/>
    </row>
    <row r="32" spans="1:48" s="36" customFormat="1" x14ac:dyDescent="0.2">
      <c r="A32" s="329" t="s">
        <v>3</v>
      </c>
      <c r="B32" s="267"/>
      <c r="C32" s="267"/>
      <c r="D32" s="267"/>
      <c r="E32" s="12">
        <f>E25/E51</f>
        <v>0.48374110740111559</v>
      </c>
      <c r="F32" s="267"/>
      <c r="G32" s="267"/>
      <c r="H32" s="267"/>
      <c r="I32" s="12">
        <f>I25/I51</f>
        <v>0.58866710767901498</v>
      </c>
      <c r="J32" s="268"/>
      <c r="K32" s="268"/>
      <c r="L32" s="266"/>
      <c r="M32" s="12">
        <f>M25/M51</f>
        <v>0.58774494150122902</v>
      </c>
      <c r="N32" s="267"/>
      <c r="O32" s="267"/>
      <c r="P32" s="267"/>
      <c r="Q32" s="12">
        <f>Q25/Q51</f>
        <v>0.30997916399911535</v>
      </c>
      <c r="R32" s="267"/>
      <c r="S32" s="267"/>
      <c r="T32" s="267"/>
      <c r="U32" s="12">
        <f>U25/U51</f>
        <v>0.59668142635332744</v>
      </c>
      <c r="V32" s="267"/>
      <c r="W32" s="267"/>
      <c r="X32" s="267"/>
      <c r="Y32" s="12">
        <f t="shared" ref="Y32:AI32" si="11">Y25/Y51</f>
        <v>0.68888239971391885</v>
      </c>
      <c r="Z32" s="12">
        <f t="shared" si="11"/>
        <v>0.64074016689169744</v>
      </c>
      <c r="AA32" s="12">
        <f t="shared" si="11"/>
        <v>0.64003726873419398</v>
      </c>
      <c r="AB32" s="12">
        <f t="shared" si="11"/>
        <v>0.61104865550000709</v>
      </c>
      <c r="AC32" s="12">
        <f t="shared" si="11"/>
        <v>0.59289433453069351</v>
      </c>
      <c r="AD32" s="12">
        <f t="shared" si="11"/>
        <v>0.5848571182417478</v>
      </c>
      <c r="AE32" s="12">
        <f t="shared" si="11"/>
        <v>0.59114682790730222</v>
      </c>
      <c r="AF32" s="12">
        <f t="shared" si="11"/>
        <v>0.57908085837838486</v>
      </c>
      <c r="AG32" s="12">
        <f t="shared" si="11"/>
        <v>0.58351042765410166</v>
      </c>
      <c r="AH32" s="12">
        <f t="shared" si="11"/>
        <v>0.60916667719799311</v>
      </c>
      <c r="AI32" s="12">
        <f t="shared" si="11"/>
        <v>0.57994110903818918</v>
      </c>
      <c r="AJ32" s="12">
        <f>AJ25/AJ51</f>
        <v>0.5606991952229925</v>
      </c>
      <c r="AK32" s="12">
        <f>AK25/AK51</f>
        <v>0.53956672154760499</v>
      </c>
      <c r="AL32" s="235"/>
      <c r="AM32" s="12">
        <f t="shared" ref="AM32:AU32" si="12">AM25/AM51</f>
        <v>0.49974605575967146</v>
      </c>
      <c r="AN32" s="12">
        <f t="shared" si="12"/>
        <v>0.48374110740111559</v>
      </c>
      <c r="AO32" s="12">
        <f t="shared" si="12"/>
        <v>0.58866710767901498</v>
      </c>
      <c r="AP32" s="12">
        <f t="shared" si="12"/>
        <v>0.58774494150122902</v>
      </c>
      <c r="AQ32" s="12">
        <f t="shared" si="12"/>
        <v>0.30997916399911535</v>
      </c>
      <c r="AR32" s="12">
        <f t="shared" si="12"/>
        <v>0.59668142635332744</v>
      </c>
      <c r="AS32" s="12">
        <f t="shared" si="12"/>
        <v>0.68888239971391885</v>
      </c>
      <c r="AT32" s="12">
        <f t="shared" si="12"/>
        <v>0.59289433453069351</v>
      </c>
      <c r="AU32" s="12">
        <f t="shared" si="12"/>
        <v>0.58351042765410166</v>
      </c>
      <c r="AV32" s="12">
        <f t="shared" ref="AV32" si="13">AV25/AV51</f>
        <v>0.53956672154760499</v>
      </c>
    </row>
    <row r="33" spans="1:48" s="36" customFormat="1" x14ac:dyDescent="0.2">
      <c r="A33" s="329" t="s">
        <v>2</v>
      </c>
      <c r="B33" s="267"/>
      <c r="C33" s="267"/>
      <c r="D33" s="267"/>
      <c r="E33" s="12">
        <f>E27/E51</f>
        <v>0.62016642909677877</v>
      </c>
      <c r="F33" s="267"/>
      <c r="G33" s="267"/>
      <c r="H33" s="267"/>
      <c r="I33" s="12">
        <f>I27/I51</f>
        <v>0.67901388738884694</v>
      </c>
      <c r="J33" s="268"/>
      <c r="K33" s="268"/>
      <c r="L33" s="266"/>
      <c r="M33" s="12">
        <f>M27/M51</f>
        <v>0.6707876920043464</v>
      </c>
      <c r="N33" s="267"/>
      <c r="O33" s="267"/>
      <c r="P33" s="267"/>
      <c r="Q33" s="12">
        <f>Q27/Q51</f>
        <v>0.46757227609059204</v>
      </c>
      <c r="R33" s="267"/>
      <c r="S33" s="267"/>
      <c r="T33" s="267"/>
      <c r="U33" s="12">
        <f>U27/U51</f>
        <v>0.65920354670777903</v>
      </c>
      <c r="V33" s="267"/>
      <c r="W33" s="267"/>
      <c r="X33" s="267"/>
      <c r="Y33" s="12">
        <f t="shared" ref="Y33:AI33" si="14">Y27/Y51</f>
        <v>0.72196026990399831</v>
      </c>
      <c r="Z33" s="12">
        <f t="shared" si="14"/>
        <v>0.68533421026836117</v>
      </c>
      <c r="AA33" s="12">
        <f t="shared" si="14"/>
        <v>0.68600204090687245</v>
      </c>
      <c r="AB33" s="12">
        <f t="shared" si="14"/>
        <v>0.66005937880326082</v>
      </c>
      <c r="AC33" s="12">
        <f t="shared" si="14"/>
        <v>0.64333970014914044</v>
      </c>
      <c r="AD33" s="12">
        <f t="shared" si="14"/>
        <v>0.63878647799956634</v>
      </c>
      <c r="AE33" s="12">
        <f t="shared" si="14"/>
        <v>0.64430317748617372</v>
      </c>
      <c r="AF33" s="12">
        <f t="shared" si="14"/>
        <v>0.63264887043086204</v>
      </c>
      <c r="AG33" s="12">
        <f t="shared" si="14"/>
        <v>0.63642184348341013</v>
      </c>
      <c r="AH33" s="12">
        <f t="shared" si="14"/>
        <v>0.65883241289539862</v>
      </c>
      <c r="AI33" s="12">
        <f t="shared" si="14"/>
        <v>0.63215626334599562</v>
      </c>
      <c r="AJ33" s="12">
        <f>AJ27/AJ51</f>
        <v>0.61817342823985588</v>
      </c>
      <c r="AK33" s="12">
        <f>AK27/AK51</f>
        <v>0.59915000103018823</v>
      </c>
      <c r="AL33" s="235"/>
      <c r="AM33" s="12">
        <f t="shared" ref="AM33:AU33" si="15">AM27/AM51</f>
        <v>0.62286218572148988</v>
      </c>
      <c r="AN33" s="12">
        <f t="shared" si="15"/>
        <v>0.62016642909677877</v>
      </c>
      <c r="AO33" s="12">
        <f t="shared" si="15"/>
        <v>0.67901388738884694</v>
      </c>
      <c r="AP33" s="12">
        <f t="shared" si="15"/>
        <v>0.6707876920043464</v>
      </c>
      <c r="AQ33" s="12">
        <f t="shared" si="15"/>
        <v>0.46757227609059204</v>
      </c>
      <c r="AR33" s="12">
        <f t="shared" si="15"/>
        <v>0.65920354670777903</v>
      </c>
      <c r="AS33" s="12">
        <f t="shared" si="15"/>
        <v>0.72196026990399831</v>
      </c>
      <c r="AT33" s="12">
        <f t="shared" si="15"/>
        <v>0.64333970014914044</v>
      </c>
      <c r="AU33" s="12">
        <f t="shared" si="15"/>
        <v>0.63642184348341013</v>
      </c>
      <c r="AV33" s="12">
        <f t="shared" ref="AV33" si="16">AV27/AV51</f>
        <v>0.59915000103018823</v>
      </c>
    </row>
    <row r="34" spans="1:48" s="36" customFormat="1" x14ac:dyDescent="0.2">
      <c r="A34" s="329" t="s">
        <v>267</v>
      </c>
      <c r="B34" s="267"/>
      <c r="C34" s="267"/>
      <c r="D34" s="267"/>
      <c r="E34" s="12">
        <f>E29/E51</f>
        <v>0.39467355293903239</v>
      </c>
      <c r="F34" s="267"/>
      <c r="G34" s="267"/>
      <c r="H34" s="267"/>
      <c r="I34" s="12">
        <f>I29/I51</f>
        <v>0.49851045829283219</v>
      </c>
      <c r="J34" s="268"/>
      <c r="K34" s="268"/>
      <c r="L34" s="266"/>
      <c r="M34" s="12">
        <f>M29/M51</f>
        <v>0.51991572919323348</v>
      </c>
      <c r="N34" s="267"/>
      <c r="O34" s="267"/>
      <c r="P34" s="267"/>
      <c r="Q34" s="12">
        <f>Q29/Q51</f>
        <v>0.27184579031300565</v>
      </c>
      <c r="R34" s="267"/>
      <c r="S34" s="267"/>
      <c r="T34" s="267"/>
      <c r="U34" s="12">
        <f>U29/U51</f>
        <v>0.46916847190673894</v>
      </c>
      <c r="V34" s="267"/>
      <c r="W34" s="267"/>
      <c r="X34" s="267"/>
      <c r="Y34" s="12">
        <f t="shared" ref="Y34:AI34" si="17">Y29/Y51</f>
        <v>0.58379060863750043</v>
      </c>
      <c r="Z34" s="12">
        <f t="shared" si="17"/>
        <v>0.40096694734911609</v>
      </c>
      <c r="AA34" s="12">
        <f t="shared" si="17"/>
        <v>0.53985092506322374</v>
      </c>
      <c r="AB34" s="12">
        <f t="shared" si="17"/>
        <v>0.48662665022413376</v>
      </c>
      <c r="AC34" s="12">
        <f t="shared" si="17"/>
        <v>0.46204094448161537</v>
      </c>
      <c r="AD34" s="12">
        <f t="shared" si="17"/>
        <v>0.48713187782785272</v>
      </c>
      <c r="AE34" s="12">
        <f t="shared" si="17"/>
        <v>0.54703402554466818</v>
      </c>
      <c r="AF34" s="12">
        <f t="shared" si="17"/>
        <v>0.51972200769106724</v>
      </c>
      <c r="AG34" s="12">
        <f t="shared" si="17"/>
        <v>0.56427987194433649</v>
      </c>
      <c r="AH34" s="12">
        <f t="shared" si="17"/>
        <v>0.64558821670942379</v>
      </c>
      <c r="AI34" s="12">
        <f t="shared" si="17"/>
        <v>0.48741101331629327</v>
      </c>
      <c r="AJ34" s="12">
        <f>AJ29/AJ51</f>
        <v>0.54583877140361325</v>
      </c>
      <c r="AK34" s="12">
        <f>AK29/AK51</f>
        <v>0.70785265685552823</v>
      </c>
      <c r="AL34" s="235"/>
      <c r="AM34" s="12">
        <f t="shared" ref="AM34:AU34" si="18">AM29/AM51</f>
        <v>0.39272386715654495</v>
      </c>
      <c r="AN34" s="12">
        <f t="shared" si="18"/>
        <v>0.39467355293903239</v>
      </c>
      <c r="AO34" s="12">
        <f t="shared" si="18"/>
        <v>0.49851045829283219</v>
      </c>
      <c r="AP34" s="12">
        <f t="shared" si="18"/>
        <v>0.51991572919323348</v>
      </c>
      <c r="AQ34" s="12">
        <f t="shared" si="18"/>
        <v>0.27184579031300565</v>
      </c>
      <c r="AR34" s="12">
        <f t="shared" si="18"/>
        <v>0.46916847190673894</v>
      </c>
      <c r="AS34" s="12">
        <f t="shared" si="18"/>
        <v>0.58379060863750043</v>
      </c>
      <c r="AT34" s="12">
        <f t="shared" si="18"/>
        <v>0.46204094448161537</v>
      </c>
      <c r="AU34" s="12">
        <f t="shared" si="18"/>
        <v>0.56427987194433649</v>
      </c>
      <c r="AV34" s="12">
        <f t="shared" ref="AV34" si="19">AV29/AV51</f>
        <v>0.70785265685552823</v>
      </c>
    </row>
    <row r="35" spans="1:48" s="36" customFormat="1" x14ac:dyDescent="0.2">
      <c r="A35" s="18"/>
      <c r="B35" s="27"/>
      <c r="C35" s="27"/>
      <c r="D35" s="27"/>
      <c r="E35" s="19"/>
      <c r="F35" s="27"/>
      <c r="G35" s="27"/>
      <c r="H35" s="28"/>
      <c r="I35" s="19"/>
      <c r="J35" s="26"/>
      <c r="K35" s="27"/>
      <c r="L35" s="19"/>
      <c r="M35" s="19"/>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19"/>
      <c r="AN35" s="19"/>
      <c r="AO35" s="19"/>
      <c r="AP35" s="19"/>
      <c r="AQ35" s="19"/>
      <c r="AR35" s="19"/>
      <c r="AS35" s="19"/>
      <c r="AT35" s="19"/>
      <c r="AU35" s="19"/>
      <c r="AV35" s="19"/>
    </row>
    <row r="36" spans="1:48" s="36" customFormat="1" x14ac:dyDescent="0.2">
      <c r="A36" s="2" t="s">
        <v>132</v>
      </c>
      <c r="B36" s="3" t="s">
        <v>282</v>
      </c>
      <c r="C36" s="4" t="s">
        <v>283</v>
      </c>
      <c r="D36" s="4" t="s">
        <v>284</v>
      </c>
      <c r="E36" s="3" t="s">
        <v>294</v>
      </c>
      <c r="F36" s="3" t="s">
        <v>285</v>
      </c>
      <c r="G36" s="3" t="s">
        <v>286</v>
      </c>
      <c r="H36" s="4" t="s">
        <v>287</v>
      </c>
      <c r="I36" s="3" t="s">
        <v>288</v>
      </c>
      <c r="J36" s="5" t="s">
        <v>289</v>
      </c>
      <c r="K36" s="3" t="s">
        <v>290</v>
      </c>
      <c r="L36" s="3" t="s">
        <v>291</v>
      </c>
      <c r="M36" s="3" t="s">
        <v>292</v>
      </c>
      <c r="N36" s="4" t="s">
        <v>279</v>
      </c>
      <c r="O36" s="4" t="s">
        <v>280</v>
      </c>
      <c r="P36" s="4" t="s">
        <v>281</v>
      </c>
      <c r="Q36" s="4" t="s">
        <v>183</v>
      </c>
      <c r="R36" s="4" t="s">
        <v>187</v>
      </c>
      <c r="S36" s="4" t="s">
        <v>200</v>
      </c>
      <c r="T36" s="4" t="s">
        <v>203</v>
      </c>
      <c r="U36" s="4" t="s">
        <v>206</v>
      </c>
      <c r="V36" s="4" t="s">
        <v>278</v>
      </c>
      <c r="W36" s="4" t="s">
        <v>211</v>
      </c>
      <c r="X36" s="4" t="s">
        <v>213</v>
      </c>
      <c r="Y36" s="4" t="s">
        <v>215</v>
      </c>
      <c r="Z36" s="4" t="s">
        <v>272</v>
      </c>
      <c r="AA36" s="4" t="s">
        <v>227</v>
      </c>
      <c r="AB36" s="4" t="s">
        <v>237</v>
      </c>
      <c r="AC36" s="4" t="s">
        <v>239</v>
      </c>
      <c r="AD36" s="4" t="s">
        <v>273</v>
      </c>
      <c r="AE36" s="4" t="s">
        <v>274</v>
      </c>
      <c r="AF36" s="4" t="s">
        <v>248</v>
      </c>
      <c r="AG36" s="4" t="s">
        <v>255</v>
      </c>
      <c r="AH36" s="4" t="s">
        <v>275</v>
      </c>
      <c r="AI36" s="4" t="s">
        <v>276</v>
      </c>
      <c r="AJ36" s="4" t="s">
        <v>277</v>
      </c>
      <c r="AK36" s="4" t="s">
        <v>295</v>
      </c>
      <c r="AL36" s="282"/>
      <c r="AM36" s="4">
        <v>2005</v>
      </c>
      <c r="AN36" s="4">
        <v>2006</v>
      </c>
      <c r="AO36" s="4">
        <v>2007</v>
      </c>
      <c r="AP36" s="4">
        <v>2008</v>
      </c>
      <c r="AQ36" s="4">
        <v>2009</v>
      </c>
      <c r="AR36" s="4">
        <v>2010</v>
      </c>
      <c r="AS36" s="4">
        <v>2011</v>
      </c>
      <c r="AT36" s="4">
        <v>2012</v>
      </c>
      <c r="AU36" s="4">
        <v>2013</v>
      </c>
      <c r="AV36" s="4">
        <v>2014</v>
      </c>
    </row>
    <row r="37" spans="1:48" ht="22.5" x14ac:dyDescent="0.2">
      <c r="A37" s="37" t="s">
        <v>52</v>
      </c>
      <c r="B37" s="23" t="s">
        <v>139</v>
      </c>
      <c r="C37" s="23" t="s">
        <v>139</v>
      </c>
      <c r="D37" s="23" t="s">
        <v>139</v>
      </c>
      <c r="E37" s="23">
        <v>80.456000000000003</v>
      </c>
      <c r="F37" s="23" t="s">
        <v>139</v>
      </c>
      <c r="G37" s="23" t="s">
        <v>139</v>
      </c>
      <c r="H37" s="23" t="s">
        <v>139</v>
      </c>
      <c r="I37" s="23">
        <v>98.876000000000005</v>
      </c>
      <c r="J37" s="23" t="s">
        <v>139</v>
      </c>
      <c r="K37" s="23" t="s">
        <v>139</v>
      </c>
      <c r="L37" s="23" t="s">
        <v>139</v>
      </c>
      <c r="M37" s="23">
        <v>122.193</v>
      </c>
      <c r="N37" s="23" t="s">
        <v>139</v>
      </c>
      <c r="O37" s="23" t="s">
        <v>139</v>
      </c>
      <c r="P37" s="23" t="s">
        <v>139</v>
      </c>
      <c r="Q37" s="23">
        <v>79.718000000000004</v>
      </c>
      <c r="R37" s="23" t="s">
        <v>139</v>
      </c>
      <c r="S37" s="23" t="s">
        <v>139</v>
      </c>
      <c r="T37" s="23" t="s">
        <v>139</v>
      </c>
      <c r="U37" s="23">
        <v>126.241</v>
      </c>
      <c r="V37" s="23" t="s">
        <v>139</v>
      </c>
      <c r="W37" s="23" t="s">
        <v>139</v>
      </c>
      <c r="X37" s="23" t="s">
        <v>139</v>
      </c>
      <c r="Y37" s="23">
        <v>219.94</v>
      </c>
      <c r="Z37" s="23" t="s">
        <v>139</v>
      </c>
      <c r="AA37" s="23" t="s">
        <v>139</v>
      </c>
      <c r="AB37" s="23" t="s">
        <v>139</v>
      </c>
      <c r="AC37" s="23">
        <v>230.01</v>
      </c>
      <c r="AD37" s="23" t="s">
        <v>139</v>
      </c>
      <c r="AE37" s="23" t="s">
        <v>139</v>
      </c>
      <c r="AF37" s="23" t="s">
        <v>139</v>
      </c>
      <c r="AG37" s="23">
        <v>125.663</v>
      </c>
      <c r="AH37" s="23" t="s">
        <v>139</v>
      </c>
      <c r="AI37" s="23" t="s">
        <v>139</v>
      </c>
      <c r="AJ37" s="23" t="s">
        <v>139</v>
      </c>
      <c r="AK37" s="23">
        <v>181.99600000000001</v>
      </c>
      <c r="AL37" s="23"/>
      <c r="AM37" s="8">
        <v>67.466999999999999</v>
      </c>
      <c r="AN37" s="23">
        <v>80.456000000000003</v>
      </c>
      <c r="AO37" s="38">
        <v>98.876000000000005</v>
      </c>
      <c r="AP37" s="38">
        <v>122.193</v>
      </c>
      <c r="AQ37" s="38">
        <f>Q37</f>
        <v>79.718000000000004</v>
      </c>
      <c r="AR37" s="38">
        <f>U37</f>
        <v>126.241</v>
      </c>
      <c r="AS37" s="38">
        <f>Y37</f>
        <v>219.94</v>
      </c>
      <c r="AT37" s="38">
        <f>AC37</f>
        <v>230.01</v>
      </c>
      <c r="AU37" s="38">
        <f>AG37</f>
        <v>125.663</v>
      </c>
      <c r="AV37" s="38">
        <f>AK37</f>
        <v>181.99600000000001</v>
      </c>
    </row>
    <row r="38" spans="1:48" s="43" customFormat="1" x14ac:dyDescent="0.2">
      <c r="A38" s="9" t="s">
        <v>137</v>
      </c>
      <c r="B38" s="39"/>
      <c r="C38" s="40"/>
      <c r="D38" s="40"/>
      <c r="E38" s="41"/>
      <c r="F38" s="40"/>
      <c r="G38" s="40"/>
      <c r="H38" s="41"/>
      <c r="I38" s="41"/>
      <c r="J38" s="31"/>
      <c r="K38" s="40"/>
      <c r="L38" s="41"/>
      <c r="M38" s="41"/>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42"/>
      <c r="AN38" s="14">
        <v>0.19252375235300234</v>
      </c>
      <c r="AO38" s="14">
        <v>0.22894501342348605</v>
      </c>
      <c r="AP38" s="14">
        <v>0.2358206238116427</v>
      </c>
      <c r="AQ38" s="14">
        <f t="shared" ref="AQ38:AV38" si="20">AQ37/AP37-1</f>
        <v>-0.34760583666822154</v>
      </c>
      <c r="AR38" s="14">
        <f t="shared" si="20"/>
        <v>0.58359467121603648</v>
      </c>
      <c r="AS38" s="14">
        <f t="shared" si="20"/>
        <v>0.74222320799106467</v>
      </c>
      <c r="AT38" s="14">
        <f t="shared" si="20"/>
        <v>4.5785214149313358E-2</v>
      </c>
      <c r="AU38" s="14">
        <f t="shared" si="20"/>
        <v>-0.45366288422242507</v>
      </c>
      <c r="AV38" s="14">
        <f t="shared" si="20"/>
        <v>0.44828628952038407</v>
      </c>
    </row>
    <row r="39" spans="1:48" x14ac:dyDescent="0.2">
      <c r="A39" s="18"/>
      <c r="B39" s="19"/>
      <c r="C39" s="19"/>
      <c r="D39" s="19"/>
      <c r="E39" s="19"/>
      <c r="F39" s="19"/>
      <c r="G39" s="19"/>
      <c r="H39" s="27"/>
      <c r="I39" s="19"/>
      <c r="J39" s="44"/>
      <c r="K39" s="19"/>
      <c r="L39" s="19"/>
      <c r="M39" s="19"/>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27"/>
      <c r="AN39" s="27"/>
      <c r="AO39" s="27"/>
      <c r="AP39" s="27"/>
      <c r="AQ39" s="27"/>
      <c r="AR39" s="27"/>
      <c r="AS39" s="27"/>
      <c r="AT39" s="27"/>
      <c r="AU39" s="27"/>
      <c r="AV39" s="27"/>
    </row>
    <row r="40" spans="1:48" x14ac:dyDescent="0.2">
      <c r="A40" s="2" t="s">
        <v>260</v>
      </c>
      <c r="B40" s="3" t="s">
        <v>282</v>
      </c>
      <c r="C40" s="4" t="s">
        <v>283</v>
      </c>
      <c r="D40" s="4" t="s">
        <v>284</v>
      </c>
      <c r="E40" s="3" t="s">
        <v>294</v>
      </c>
      <c r="F40" s="3" t="s">
        <v>285</v>
      </c>
      <c r="G40" s="3" t="s">
        <v>286</v>
      </c>
      <c r="H40" s="4" t="s">
        <v>287</v>
      </c>
      <c r="I40" s="3" t="s">
        <v>288</v>
      </c>
      <c r="J40" s="5" t="s">
        <v>289</v>
      </c>
      <c r="K40" s="3" t="s">
        <v>290</v>
      </c>
      <c r="L40" s="3" t="s">
        <v>291</v>
      </c>
      <c r="M40" s="3" t="s">
        <v>292</v>
      </c>
      <c r="N40" s="4" t="s">
        <v>279</v>
      </c>
      <c r="O40" s="4" t="s">
        <v>280</v>
      </c>
      <c r="P40" s="4" t="s">
        <v>281</v>
      </c>
      <c r="Q40" s="4" t="s">
        <v>183</v>
      </c>
      <c r="R40" s="4" t="s">
        <v>187</v>
      </c>
      <c r="S40" s="4" t="s">
        <v>200</v>
      </c>
      <c r="T40" s="4" t="s">
        <v>203</v>
      </c>
      <c r="U40" s="4" t="s">
        <v>206</v>
      </c>
      <c r="V40" s="4" t="s">
        <v>278</v>
      </c>
      <c r="W40" s="4" t="s">
        <v>211</v>
      </c>
      <c r="X40" s="4" t="s">
        <v>213</v>
      </c>
      <c r="Y40" s="4" t="s">
        <v>215</v>
      </c>
      <c r="Z40" s="4" t="s">
        <v>272</v>
      </c>
      <c r="AA40" s="4" t="s">
        <v>227</v>
      </c>
      <c r="AB40" s="4" t="s">
        <v>237</v>
      </c>
      <c r="AC40" s="4" t="s">
        <v>239</v>
      </c>
      <c r="AD40" s="4" t="s">
        <v>273</v>
      </c>
      <c r="AE40" s="4" t="s">
        <v>274</v>
      </c>
      <c r="AF40" s="4" t="s">
        <v>248</v>
      </c>
      <c r="AG40" s="4" t="s">
        <v>255</v>
      </c>
      <c r="AH40" s="4" t="s">
        <v>275</v>
      </c>
      <c r="AI40" s="4" t="s">
        <v>276</v>
      </c>
      <c r="AJ40" s="4" t="s">
        <v>277</v>
      </c>
      <c r="AK40" s="4" t="s">
        <v>295</v>
      </c>
      <c r="AL40" s="282"/>
      <c r="AM40" s="4">
        <v>2005</v>
      </c>
      <c r="AN40" s="4">
        <v>2006</v>
      </c>
      <c r="AO40" s="4">
        <v>2007</v>
      </c>
      <c r="AP40" s="4">
        <v>2008</v>
      </c>
      <c r="AQ40" s="4">
        <v>2009</v>
      </c>
      <c r="AR40" s="4">
        <v>2010</v>
      </c>
      <c r="AS40" s="4">
        <v>2011</v>
      </c>
      <c r="AT40" s="4">
        <v>2012</v>
      </c>
      <c r="AU40" s="4">
        <v>2013</v>
      </c>
      <c r="AV40" s="4">
        <v>2014</v>
      </c>
    </row>
    <row r="41" spans="1:48" x14ac:dyDescent="0.2">
      <c r="A41" s="18" t="s">
        <v>14</v>
      </c>
      <c r="B41" s="19">
        <v>0.27240617698598135</v>
      </c>
      <c r="C41" s="19">
        <v>0.35555626539746932</v>
      </c>
      <c r="D41" s="19">
        <v>0.45329009853971269</v>
      </c>
      <c r="E41" s="17">
        <v>0.48374110740111559</v>
      </c>
      <c r="F41" s="19">
        <v>0.57688485613982954</v>
      </c>
      <c r="G41" s="19">
        <v>0.5911050174920891</v>
      </c>
      <c r="H41" s="19">
        <v>0.59468756089940888</v>
      </c>
      <c r="I41" s="17">
        <v>0.58866710767901498</v>
      </c>
      <c r="J41" s="17">
        <v>0.58815565308632223</v>
      </c>
      <c r="K41" s="17">
        <v>0.59248341654008851</v>
      </c>
      <c r="L41" s="17">
        <v>0.87490984218924372</v>
      </c>
      <c r="M41" s="17">
        <v>0.58774494150122902</v>
      </c>
      <c r="N41" s="45">
        <f>N25/(N21+76.67)</f>
        <v>0.26894517229002152</v>
      </c>
      <c r="O41" s="45">
        <f>O25/(O21+187.961)</f>
        <v>0.29382553355618413</v>
      </c>
      <c r="P41" s="45">
        <f>P25/(P21+306.423)</f>
        <v>0.31974456744026492</v>
      </c>
      <c r="Q41" s="45">
        <f>Q25/(Q21+430.457)</f>
        <v>0.30997916399911535</v>
      </c>
      <c r="R41" s="45">
        <f>R25/(R21+139.68)</f>
        <v>0.40823923401076107</v>
      </c>
      <c r="S41" s="45">
        <f>S25/(S21+377.106)</f>
        <v>0.54483249318636795</v>
      </c>
      <c r="T41" s="45">
        <f>T25/(T21+605.038)</f>
        <v>0.58399917064566442</v>
      </c>
      <c r="U41" s="45">
        <f>U25/(U21+831.257)</f>
        <v>0.59668142635332744</v>
      </c>
      <c r="V41" s="45">
        <f>V25/(V21+274.195)</f>
        <v>0.6672737775663462</v>
      </c>
      <c r="W41" s="45">
        <f>W25/(W21+638.164)</f>
        <v>0.68939163613151988</v>
      </c>
      <c r="X41" s="45">
        <f>X25/(X21+931.007)</f>
        <v>0.69177809810292334</v>
      </c>
      <c r="Y41" s="45">
        <f>Y25/(Y21+1290.944)</f>
        <v>0.68888222130542953</v>
      </c>
      <c r="Z41" s="45">
        <f>Z25/(Z21+280.584)</f>
        <v>0.64074016689169744</v>
      </c>
      <c r="AA41" s="45">
        <f>AA25/(AA21+554.994)</f>
        <v>0.64003726873419398</v>
      </c>
      <c r="AB41" s="45">
        <f>AB25/(AB21+776.754)</f>
        <v>0.61104865550000709</v>
      </c>
      <c r="AC41" s="45">
        <f>AC25/(AC21+996.889)</f>
        <v>0.59289433453069351</v>
      </c>
      <c r="AD41" s="45">
        <f>AD25/(AD21+244.626)</f>
        <v>0.5848571182417478</v>
      </c>
      <c r="AE41" s="45">
        <f>AE25/(AE21+493.615)</f>
        <v>0.59114682790730222</v>
      </c>
      <c r="AF41" s="45">
        <f>AF25/(AF21+719.919)</f>
        <v>0.57908085837838486</v>
      </c>
      <c r="AG41" s="45">
        <f>AG25/(AG21+AG50)</f>
        <v>0.58351042765410166</v>
      </c>
      <c r="AH41" s="45">
        <f>AH25/(AH21+AH50)</f>
        <v>0.60916667719799311</v>
      </c>
      <c r="AI41" s="45">
        <f>AI25/(AI21+AI50)</f>
        <v>0.57994110903818918</v>
      </c>
      <c r="AJ41" s="45">
        <f>AJ25/(AJ21+AJ50)</f>
        <v>0.5606991952229925</v>
      </c>
      <c r="AK41" s="45">
        <f>AK25/(AK21+AK50)</f>
        <v>0.53956672154760499</v>
      </c>
      <c r="AL41" s="45"/>
      <c r="AM41" s="19">
        <v>0.49974605575967146</v>
      </c>
      <c r="AN41" s="19">
        <v>0.48374110740111559</v>
      </c>
      <c r="AO41" s="19">
        <v>0.58866710767901498</v>
      </c>
      <c r="AP41" s="19">
        <v>0.58774494150122902</v>
      </c>
      <c r="AQ41" s="19">
        <f>Q41</f>
        <v>0.30997916399911535</v>
      </c>
      <c r="AR41" s="19">
        <f>U41</f>
        <v>0.59668142635332744</v>
      </c>
      <c r="AS41" s="19">
        <f>Y41</f>
        <v>0.68888222130542953</v>
      </c>
      <c r="AT41" s="19">
        <f>AC41</f>
        <v>0.59289433453069351</v>
      </c>
      <c r="AU41" s="19">
        <f>AG41</f>
        <v>0.58351042765410166</v>
      </c>
      <c r="AV41" s="19">
        <f>AK41</f>
        <v>0.53956672154760499</v>
      </c>
    </row>
    <row r="42" spans="1:48" s="48" customFormat="1" x14ac:dyDescent="0.2">
      <c r="A42" s="47" t="s">
        <v>149</v>
      </c>
      <c r="B42" s="21">
        <v>13.90606910756774</v>
      </c>
      <c r="C42" s="21">
        <v>13.771644129712746</v>
      </c>
      <c r="D42" s="21">
        <v>13.884004330194806</v>
      </c>
      <c r="E42" s="21">
        <v>13.971802603656947</v>
      </c>
      <c r="F42" s="21">
        <v>15.796646287035625</v>
      </c>
      <c r="G42" s="21">
        <v>15.762211740474243</v>
      </c>
      <c r="H42" s="21">
        <v>15.840350131931965</v>
      </c>
      <c r="I42" s="21">
        <v>16.513540364652954</v>
      </c>
      <c r="J42" s="23">
        <v>21</v>
      </c>
      <c r="K42" s="21">
        <v>21</v>
      </c>
      <c r="L42" s="21">
        <v>21.191393977131803</v>
      </c>
      <c r="M42" s="21">
        <v>20.922794960043085</v>
      </c>
      <c r="N42" s="21">
        <v>16.158639972556255</v>
      </c>
      <c r="O42" s="21">
        <v>15.138111381604853</v>
      </c>
      <c r="P42" s="21">
        <v>15</v>
      </c>
      <c r="Q42" s="21">
        <v>16</v>
      </c>
      <c r="R42" s="21">
        <v>17.28</v>
      </c>
      <c r="S42" s="21">
        <v>17.93</v>
      </c>
      <c r="T42" s="21">
        <v>17.899999999999999</v>
      </c>
      <c r="U42" s="21">
        <v>18</v>
      </c>
      <c r="V42" s="21">
        <v>22</v>
      </c>
      <c r="W42" s="21">
        <v>20</v>
      </c>
      <c r="X42" s="21">
        <v>21</v>
      </c>
      <c r="Y42" s="21">
        <v>20.745605743150826</v>
      </c>
      <c r="Z42" s="21">
        <v>20.801811879999999</v>
      </c>
      <c r="AA42" s="21">
        <v>21.469000000000001</v>
      </c>
      <c r="AB42" s="21">
        <v>21.1</v>
      </c>
      <c r="AC42" s="21">
        <v>21</v>
      </c>
      <c r="AD42" s="21">
        <v>23</v>
      </c>
      <c r="AE42" s="21">
        <v>21.8</v>
      </c>
      <c r="AF42" s="21">
        <v>22.683915300727975</v>
      </c>
      <c r="AG42" s="21">
        <v>22.519866620262629</v>
      </c>
      <c r="AH42" s="21">
        <v>18.960536808014762</v>
      </c>
      <c r="AI42" s="21">
        <v>18.714832479575197</v>
      </c>
      <c r="AJ42" s="21">
        <v>18.856698773785762</v>
      </c>
      <c r="AK42" s="21">
        <v>17.208414407703842</v>
      </c>
      <c r="AL42" s="242"/>
      <c r="AM42" s="21">
        <v>15.230332551746116</v>
      </c>
      <c r="AN42" s="21">
        <v>13.971802603656947</v>
      </c>
      <c r="AO42" s="21">
        <v>16.513540364652954</v>
      </c>
      <c r="AP42" s="21">
        <v>20.922794960043085</v>
      </c>
      <c r="AQ42" s="21">
        <f>Q42</f>
        <v>16</v>
      </c>
      <c r="AR42" s="21">
        <f>U42</f>
        <v>18</v>
      </c>
      <c r="AS42" s="21">
        <f>Y42</f>
        <v>20.745605743150826</v>
      </c>
      <c r="AT42" s="21">
        <f>AC42</f>
        <v>21</v>
      </c>
      <c r="AU42" s="21">
        <f>AG42</f>
        <v>22.519866620262629</v>
      </c>
      <c r="AV42" s="21">
        <f>AK42</f>
        <v>17.208414407703842</v>
      </c>
    </row>
    <row r="43" spans="1:48" s="48" customFormat="1" x14ac:dyDescent="0.2">
      <c r="A43" s="318" t="s">
        <v>150</v>
      </c>
      <c r="B43" s="247">
        <v>10.229704419122291</v>
      </c>
      <c r="C43" s="247">
        <v>14.717772895657342</v>
      </c>
      <c r="D43" s="247">
        <v>19.831431951902971</v>
      </c>
      <c r="E43" s="247">
        <v>23.489665366215814</v>
      </c>
      <c r="F43" s="247">
        <v>36.895716736978578</v>
      </c>
      <c r="G43" s="247">
        <v>38.589845266165803</v>
      </c>
      <c r="H43" s="247">
        <v>39.233878293297352</v>
      </c>
      <c r="I43" s="247">
        <v>39.217197736205677</v>
      </c>
      <c r="J43" s="319">
        <v>45.745376105998083</v>
      </c>
      <c r="K43" s="247">
        <v>47.60218127512578</v>
      </c>
      <c r="L43" s="247">
        <v>47.858963415858554</v>
      </c>
      <c r="M43" s="247">
        <v>46.126495589635795</v>
      </c>
      <c r="N43" s="320">
        <f t="shared" ref="N43:AG43" si="21">N25/N45*1000</f>
        <v>9.3514040561622469</v>
      </c>
      <c r="O43" s="320">
        <f t="shared" si="21"/>
        <v>10.525618883131838</v>
      </c>
      <c r="P43" s="320">
        <f t="shared" si="21"/>
        <v>11.628790786948176</v>
      </c>
      <c r="Q43" s="320">
        <f t="shared" si="21"/>
        <v>11.518996467450075</v>
      </c>
      <c r="R43" s="320">
        <f t="shared" si="21"/>
        <v>18.773713522028459</v>
      </c>
      <c r="S43" s="320">
        <f t="shared" si="21"/>
        <v>33.391426459719142</v>
      </c>
      <c r="T43" s="320">
        <f t="shared" si="21"/>
        <v>37.653492201879303</v>
      </c>
      <c r="U43" s="320">
        <f t="shared" si="21"/>
        <v>39.379534582489264</v>
      </c>
      <c r="V43" s="320">
        <f t="shared" si="21"/>
        <v>59.544570575037625</v>
      </c>
      <c r="W43" s="320">
        <f t="shared" si="21"/>
        <v>66.452351614947816</v>
      </c>
      <c r="X43" s="320">
        <f t="shared" si="21"/>
        <v>67.425551138417049</v>
      </c>
      <c r="Y43" s="320">
        <f t="shared" si="21"/>
        <v>66.720975130669942</v>
      </c>
      <c r="Z43" s="320">
        <f t="shared" si="21"/>
        <v>58.195290063182078</v>
      </c>
      <c r="AA43" s="320">
        <f t="shared" si="21"/>
        <v>58.546266233766232</v>
      </c>
      <c r="AB43" s="320">
        <f t="shared" si="21"/>
        <v>54.212910735070288</v>
      </c>
      <c r="AC43" s="320">
        <f t="shared" si="21"/>
        <v>50.086157592626193</v>
      </c>
      <c r="AD43" s="320">
        <f t="shared" si="21"/>
        <v>52.540639791358252</v>
      </c>
      <c r="AE43" s="320">
        <f t="shared" si="21"/>
        <v>53.289750328515112</v>
      </c>
      <c r="AF43" s="320">
        <f t="shared" si="21"/>
        <v>50.398458720617072</v>
      </c>
      <c r="AG43" s="320">
        <f t="shared" si="21"/>
        <v>51.075073051579928</v>
      </c>
      <c r="AH43" s="320">
        <f>AH25/AH45*1000</f>
        <v>49.809093257556192</v>
      </c>
      <c r="AI43" s="320">
        <f>AI25/AI45*1000</f>
        <v>45.868444444444442</v>
      </c>
      <c r="AJ43" s="320">
        <f>AJ25/AJ45*1000</f>
        <v>41.238159560996202</v>
      </c>
      <c r="AK43" s="320">
        <f>AK25/AK45*1000</f>
        <v>35.543895366771544</v>
      </c>
      <c r="AL43" s="23"/>
      <c r="AM43" s="247">
        <v>23.263500156132533</v>
      </c>
      <c r="AN43" s="247">
        <v>23.489665366215814</v>
      </c>
      <c r="AO43" s="247">
        <v>39.217197736205677</v>
      </c>
      <c r="AP43" s="247">
        <v>46.126495589635795</v>
      </c>
      <c r="AQ43" s="247">
        <f>Q43</f>
        <v>11.518996467450075</v>
      </c>
      <c r="AR43" s="247">
        <f>U43</f>
        <v>39.379534582489264</v>
      </c>
      <c r="AS43" s="247">
        <f>Y43</f>
        <v>66.720975130669942</v>
      </c>
      <c r="AT43" s="247">
        <f>AC43</f>
        <v>50.086157592626193</v>
      </c>
      <c r="AU43" s="247">
        <f>AG43</f>
        <v>51.075073051579928</v>
      </c>
      <c r="AV43" s="247">
        <f>AK43</f>
        <v>35.543895366771544</v>
      </c>
    </row>
    <row r="44" spans="1:48" x14ac:dyDescent="0.2">
      <c r="E44" s="48"/>
      <c r="I44" s="48"/>
      <c r="L44" s="48"/>
      <c r="M44" s="48"/>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row>
    <row r="45" spans="1:48" s="48" customFormat="1" x14ac:dyDescent="0.2">
      <c r="A45" s="318" t="s">
        <v>159</v>
      </c>
      <c r="B45" s="247">
        <v>2917.6796100000001</v>
      </c>
      <c r="C45" s="247">
        <v>6050.3719300000002</v>
      </c>
      <c r="D45" s="247">
        <v>9241.238879999999</v>
      </c>
      <c r="E45" s="319">
        <v>12656.03385</v>
      </c>
      <c r="F45" s="247">
        <v>3367.0846100000003</v>
      </c>
      <c r="G45" s="247">
        <v>6602.695560000001</v>
      </c>
      <c r="H45" s="247">
        <v>9800.2037200000013</v>
      </c>
      <c r="I45" s="319">
        <v>13342.233259999999</v>
      </c>
      <c r="J45" s="319">
        <v>4773</v>
      </c>
      <c r="K45" s="319">
        <v>6629.15</v>
      </c>
      <c r="L45" s="319">
        <v>9910.223</v>
      </c>
      <c r="M45" s="319">
        <v>11890.628000000001</v>
      </c>
      <c r="N45" s="247">
        <v>2564</v>
      </c>
      <c r="O45" s="247">
        <v>6948</v>
      </c>
      <c r="P45" s="247">
        <v>10420</v>
      </c>
      <c r="Q45" s="247">
        <v>13871</v>
      </c>
      <c r="R45" s="247">
        <v>3318.0436000000004</v>
      </c>
      <c r="S45" s="247">
        <v>6765</v>
      </c>
      <c r="T45" s="247">
        <v>10323</v>
      </c>
      <c r="U45" s="247">
        <v>13828.096390000001</v>
      </c>
      <c r="V45" s="247">
        <v>3297.8993399999999</v>
      </c>
      <c r="W45" s="247">
        <v>7199.8054000000002</v>
      </c>
      <c r="X45" s="247">
        <v>11068</v>
      </c>
      <c r="Y45" s="247">
        <v>14865.7</v>
      </c>
      <c r="Z45" s="247">
        <v>3482</v>
      </c>
      <c r="AA45" s="247">
        <v>7392</v>
      </c>
      <c r="AB45" s="247">
        <v>11169</v>
      </c>
      <c r="AC45" s="247">
        <v>15834.594589000002</v>
      </c>
      <c r="AD45" s="247">
        <v>3746.9471399999998</v>
      </c>
      <c r="AE45" s="247">
        <v>7610</v>
      </c>
      <c r="AF45" s="247">
        <v>11470.529350999999</v>
      </c>
      <c r="AG45" s="247">
        <v>15434.3</v>
      </c>
      <c r="AH45" s="247">
        <v>3871</v>
      </c>
      <c r="AI45" s="247">
        <v>7875</v>
      </c>
      <c r="AJ45" s="247">
        <v>11845</v>
      </c>
      <c r="AK45" s="247">
        <v>16209</v>
      </c>
      <c r="AL45" s="21"/>
      <c r="AM45" s="247">
        <v>11927.654830000001</v>
      </c>
      <c r="AN45" s="247">
        <v>12656.03385</v>
      </c>
      <c r="AO45" s="247">
        <v>13342.233259999999</v>
      </c>
      <c r="AP45" s="319">
        <v>11890.628000000001</v>
      </c>
      <c r="AQ45" s="247">
        <f>Q45</f>
        <v>13871</v>
      </c>
      <c r="AR45" s="247">
        <f>U45</f>
        <v>13828.096390000001</v>
      </c>
      <c r="AS45" s="247">
        <f>Y45</f>
        <v>14865.7</v>
      </c>
      <c r="AT45" s="247">
        <f>AC45</f>
        <v>15834.594589000002</v>
      </c>
      <c r="AU45" s="247">
        <f>AG45</f>
        <v>15434.3</v>
      </c>
      <c r="AV45" s="247">
        <f>AK45</f>
        <v>16209</v>
      </c>
    </row>
    <row r="46" spans="1:48" x14ac:dyDescent="0.2">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row>
    <row r="47" spans="1:48" x14ac:dyDescent="0.2">
      <c r="A47" s="49" t="s">
        <v>225</v>
      </c>
      <c r="N47" s="50"/>
      <c r="O47" s="50"/>
      <c r="P47" s="50"/>
      <c r="Q47" s="50"/>
      <c r="R47" s="50"/>
      <c r="S47" s="50"/>
      <c r="T47" s="50"/>
      <c r="U47" s="50"/>
      <c r="V47" s="50"/>
      <c r="W47" s="50"/>
      <c r="X47" s="50"/>
      <c r="Y47" s="50"/>
      <c r="Z47" s="50"/>
      <c r="AA47" s="50"/>
      <c r="AB47" s="50"/>
      <c r="AC47" s="50"/>
      <c r="AD47" s="50"/>
      <c r="AE47" s="50"/>
      <c r="AF47" s="50"/>
      <c r="AG47" s="50"/>
      <c r="AH47" s="50"/>
      <c r="AI47" s="50"/>
      <c r="AJ47" s="50"/>
      <c r="AK47" s="50"/>
    </row>
    <row r="48" spans="1:48" x14ac:dyDescent="0.2">
      <c r="A48" s="49" t="s">
        <v>226</v>
      </c>
      <c r="N48" s="50"/>
      <c r="O48" s="50"/>
      <c r="P48" s="50"/>
      <c r="Q48" s="50"/>
      <c r="R48" s="50"/>
      <c r="S48" s="50"/>
      <c r="T48" s="50"/>
      <c r="U48" s="50"/>
      <c r="V48" s="50"/>
      <c r="W48" s="50"/>
      <c r="X48" s="50"/>
      <c r="Y48" s="50"/>
      <c r="Z48" s="50"/>
      <c r="AA48" s="50"/>
      <c r="AB48" s="50"/>
      <c r="AC48" s="50"/>
      <c r="AD48" s="50"/>
      <c r="AE48" s="50"/>
      <c r="AF48" s="50"/>
      <c r="AG48" s="50"/>
      <c r="AH48" s="50"/>
      <c r="AI48" s="50"/>
      <c r="AJ48" s="50"/>
      <c r="AK48" s="50"/>
    </row>
    <row r="50" spans="1:48" s="334" customFormat="1" hidden="1" outlineLevel="1" x14ac:dyDescent="0.2">
      <c r="A50" s="336" t="s">
        <v>269</v>
      </c>
      <c r="B50" s="330"/>
      <c r="C50" s="331"/>
      <c r="D50" s="332"/>
      <c r="E50" s="332">
        <v>523.55799999999999</v>
      </c>
      <c r="F50" s="330"/>
      <c r="G50" s="330"/>
      <c r="I50" s="332">
        <v>783.42200000000003</v>
      </c>
      <c r="J50" s="332">
        <v>0</v>
      </c>
      <c r="K50" s="332">
        <v>0</v>
      </c>
      <c r="L50" s="332">
        <v>0</v>
      </c>
      <c r="M50" s="332">
        <v>870.29600000000005</v>
      </c>
      <c r="N50" s="332">
        <v>0</v>
      </c>
      <c r="O50" s="332">
        <v>0</v>
      </c>
      <c r="P50" s="332">
        <v>0</v>
      </c>
      <c r="Q50" s="332">
        <v>430.45699999999999</v>
      </c>
      <c r="R50" s="332">
        <v>0</v>
      </c>
      <c r="S50" s="332">
        <v>0</v>
      </c>
      <c r="T50" s="332">
        <v>0</v>
      </c>
      <c r="U50" s="332">
        <v>831.25699999999995</v>
      </c>
      <c r="V50" s="332">
        <v>0</v>
      </c>
      <c r="W50" s="332">
        <v>0</v>
      </c>
      <c r="X50" s="332">
        <v>0</v>
      </c>
      <c r="Y50" s="332">
        <v>1290.9436271164718</v>
      </c>
      <c r="Z50" s="332">
        <v>280.584</v>
      </c>
      <c r="AA50" s="332">
        <v>554.99400000000003</v>
      </c>
      <c r="AB50" s="332">
        <v>776.75400000000002</v>
      </c>
      <c r="AC50" s="332">
        <v>996.88900000000001</v>
      </c>
      <c r="AD50" s="332">
        <v>244.626</v>
      </c>
      <c r="AE50" s="332">
        <v>493.61500000000001</v>
      </c>
      <c r="AF50" s="332">
        <v>719.91899999999998</v>
      </c>
      <c r="AG50" s="332">
        <v>978.76499999999999</v>
      </c>
      <c r="AH50" s="332">
        <v>228.77600000000001</v>
      </c>
      <c r="AI50" s="332">
        <v>417.65300000000002</v>
      </c>
      <c r="AJ50" s="332">
        <v>595.596</v>
      </c>
      <c r="AK50" s="332">
        <v>721.83100000000002</v>
      </c>
      <c r="AL50" s="332"/>
      <c r="AM50" s="332">
        <v>460.57900000000001</v>
      </c>
      <c r="AN50" s="332">
        <f>E50</f>
        <v>523.55799999999999</v>
      </c>
      <c r="AO50" s="332">
        <f>I50</f>
        <v>783.42200000000003</v>
      </c>
      <c r="AP50" s="332">
        <f>M50</f>
        <v>870.29600000000005</v>
      </c>
      <c r="AQ50" s="332">
        <f>Q50</f>
        <v>430.45699999999999</v>
      </c>
      <c r="AR50" s="332">
        <f>U50</f>
        <v>831.25699999999995</v>
      </c>
      <c r="AS50" s="332">
        <f>Y50</f>
        <v>1290.9436271164718</v>
      </c>
      <c r="AT50" s="332">
        <f>AC50</f>
        <v>996.88900000000001</v>
      </c>
      <c r="AU50" s="332">
        <f>AG50</f>
        <v>978.76499999999999</v>
      </c>
      <c r="AV50" s="332">
        <f>AK50</f>
        <v>721.83100000000002</v>
      </c>
    </row>
    <row r="51" spans="1:48" s="334" customFormat="1" hidden="1" outlineLevel="1" x14ac:dyDescent="0.2">
      <c r="A51" s="336" t="s">
        <v>270</v>
      </c>
      <c r="B51" s="330"/>
      <c r="C51" s="331"/>
      <c r="D51" s="331"/>
      <c r="E51" s="332">
        <f>E50+E21</f>
        <v>614.55600000000004</v>
      </c>
      <c r="F51" s="330"/>
      <c r="G51" s="330"/>
      <c r="H51" s="332"/>
      <c r="I51" s="332">
        <f>I50+I21</f>
        <v>888.86400000000003</v>
      </c>
      <c r="J51" s="333"/>
      <c r="K51" s="333"/>
      <c r="L51" s="333"/>
      <c r="M51" s="332">
        <f t="shared" ref="M51:AI51" si="22">M50+M21</f>
        <v>933.18200000000002</v>
      </c>
      <c r="N51" s="332">
        <f t="shared" si="22"/>
        <v>12.481999999999999</v>
      </c>
      <c r="O51" s="332">
        <f t="shared" si="22"/>
        <v>60.935000000000002</v>
      </c>
      <c r="P51" s="332">
        <f t="shared" si="22"/>
        <v>72.542000000000002</v>
      </c>
      <c r="Q51" s="332">
        <f t="shared" si="22"/>
        <v>515.45399999999995</v>
      </c>
      <c r="R51" s="332">
        <f t="shared" si="22"/>
        <v>12.907</v>
      </c>
      <c r="S51" s="332">
        <f t="shared" si="22"/>
        <v>37.503999999999998</v>
      </c>
      <c r="T51" s="332">
        <f t="shared" si="22"/>
        <v>60.54</v>
      </c>
      <c r="U51" s="332">
        <f t="shared" si="22"/>
        <v>912.62099999999998</v>
      </c>
      <c r="V51" s="332">
        <f t="shared" si="22"/>
        <v>20.094999999999999</v>
      </c>
      <c r="W51" s="332">
        <f t="shared" si="22"/>
        <v>55.844999999999999</v>
      </c>
      <c r="X51" s="332">
        <f t="shared" si="22"/>
        <v>147.75800000000001</v>
      </c>
      <c r="Y51" s="332">
        <f t="shared" si="22"/>
        <v>1439.8016271164718</v>
      </c>
      <c r="Z51" s="332">
        <f t="shared" si="22"/>
        <v>316.25299999999999</v>
      </c>
      <c r="AA51" s="332">
        <f t="shared" si="22"/>
        <v>676.17000000000007</v>
      </c>
      <c r="AB51" s="332">
        <f t="shared" si="22"/>
        <v>990.92600000000004</v>
      </c>
      <c r="AC51" s="332">
        <f t="shared" si="22"/>
        <v>1337.665</v>
      </c>
      <c r="AD51" s="332">
        <f t="shared" si="22"/>
        <v>336.60699999999997</v>
      </c>
      <c r="AE51" s="332">
        <f t="shared" si="22"/>
        <v>686.01400000000001</v>
      </c>
      <c r="AF51" s="332">
        <f t="shared" si="22"/>
        <v>998.30099999999993</v>
      </c>
      <c r="AG51" s="332">
        <f t="shared" si="22"/>
        <v>1350.9749999999999</v>
      </c>
      <c r="AH51" s="332">
        <f t="shared" si="22"/>
        <v>316.51600000000002</v>
      </c>
      <c r="AI51" s="332">
        <f t="shared" si="22"/>
        <v>622.846</v>
      </c>
      <c r="AJ51" s="332">
        <f>AJ50+AJ21</f>
        <v>871.173</v>
      </c>
      <c r="AK51" s="332">
        <f>AK50+AK21</f>
        <v>1067.7660000000001</v>
      </c>
      <c r="AL51" s="332"/>
      <c r="AM51" s="332">
        <f t="shared" ref="AM51:AU51" si="23">AM50+AM21</f>
        <v>555.24</v>
      </c>
      <c r="AN51" s="332">
        <f t="shared" si="23"/>
        <v>614.55600000000004</v>
      </c>
      <c r="AO51" s="332">
        <f t="shared" si="23"/>
        <v>888.86400000000003</v>
      </c>
      <c r="AP51" s="332">
        <f t="shared" si="23"/>
        <v>933.18200000000002</v>
      </c>
      <c r="AQ51" s="332">
        <f t="shared" si="23"/>
        <v>515.45399999999995</v>
      </c>
      <c r="AR51" s="332">
        <f t="shared" si="23"/>
        <v>912.62099999999998</v>
      </c>
      <c r="AS51" s="332">
        <f t="shared" si="23"/>
        <v>1439.8016271164718</v>
      </c>
      <c r="AT51" s="332">
        <f t="shared" si="23"/>
        <v>1337.665</v>
      </c>
      <c r="AU51" s="332">
        <f t="shared" si="23"/>
        <v>1350.9749999999999</v>
      </c>
      <c r="AV51" s="332">
        <f t="shared" ref="AV51" si="24">AV50+AV21</f>
        <v>1067.7660000000001</v>
      </c>
    </row>
    <row r="52" spans="1:48" collapsed="1" x14ac:dyDescent="0.2"/>
  </sheetData>
  <phoneticPr fontId="2" type="noConversion"/>
  <pageMargins left="0.25" right="0.25" top="0.75" bottom="0.75" header="0.3" footer="0.3"/>
  <pageSetup paperSize="9" scale="62" orientation="landscape" r:id="rId1"/>
  <ignoredErrors>
    <ignoredError sqref="AQ6:AQ8 AQ14:AQ17 AQ22 AR6:AR9 AQ9 AR14:AR17 AR22 AS26 AS12:AS18 AS7:AS10 AS6:AT6 AS11:AT11 AT7:AT10 AT13:AT18 AS35:AS38 AS19:AS22 AT19 AQ24 AR24 AS24 AT24 AR26 AT21:AT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8"/>
  <sheetViews>
    <sheetView showGridLines="0" view="pageBreakPreview" zoomScaleNormal="100" zoomScaleSheetLayoutView="100" workbookViewId="0">
      <selection activeCell="Q1" sqref="Q1"/>
    </sheetView>
  </sheetViews>
  <sheetFormatPr defaultRowHeight="12.75" outlineLevelRow="1" outlineLevelCol="1" x14ac:dyDescent="0.2"/>
  <cols>
    <col min="1" max="1" width="36.42578125" style="284" customWidth="1"/>
    <col min="2" max="4" width="8.28515625" style="285" hidden="1" customWidth="1" outlineLevel="1"/>
    <col min="5" max="5" width="8.28515625" style="285" customWidth="1" collapsed="1"/>
    <col min="6" max="17" width="8.28515625" style="285" customWidth="1"/>
    <col min="18" max="18" width="9.140625" style="284"/>
    <col min="19" max="24" width="6.28515625" style="285" hidden="1" customWidth="1" outlineLevel="1"/>
    <col min="25" max="25" width="6.28515625" style="285" customWidth="1" collapsed="1"/>
    <col min="26" max="28" width="6.28515625" style="285" customWidth="1"/>
    <col min="29" max="16384" width="9.140625" style="284"/>
  </cols>
  <sheetData>
    <row r="1" spans="1:28" x14ac:dyDescent="0.2">
      <c r="A1" s="284" t="s">
        <v>236</v>
      </c>
    </row>
    <row r="3" spans="1:28" x14ac:dyDescent="0.2">
      <c r="A3" s="286" t="s">
        <v>229</v>
      </c>
      <c r="B3" s="4" t="s">
        <v>278</v>
      </c>
      <c r="C3" s="4" t="s">
        <v>211</v>
      </c>
      <c r="D3" s="4" t="s">
        <v>213</v>
      </c>
      <c r="E3" s="4" t="s">
        <v>215</v>
      </c>
      <c r="F3" s="4" t="s">
        <v>272</v>
      </c>
      <c r="G3" s="4" t="s">
        <v>227</v>
      </c>
      <c r="H3" s="4" t="s">
        <v>237</v>
      </c>
      <c r="I3" s="4" t="s">
        <v>239</v>
      </c>
      <c r="J3" s="4" t="s">
        <v>273</v>
      </c>
      <c r="K3" s="4" t="s">
        <v>274</v>
      </c>
      <c r="L3" s="4" t="s">
        <v>248</v>
      </c>
      <c r="M3" s="4" t="s">
        <v>255</v>
      </c>
      <c r="N3" s="4" t="s">
        <v>275</v>
      </c>
      <c r="O3" s="4" t="s">
        <v>276</v>
      </c>
      <c r="P3" s="4" t="s">
        <v>277</v>
      </c>
      <c r="Q3" s="4" t="s">
        <v>295</v>
      </c>
      <c r="S3" s="4">
        <v>2005</v>
      </c>
      <c r="T3" s="4">
        <v>2006</v>
      </c>
      <c r="U3" s="4">
        <v>2007</v>
      </c>
      <c r="V3" s="4">
        <v>2008</v>
      </c>
      <c r="W3" s="4">
        <v>2009</v>
      </c>
      <c r="X3" s="4">
        <v>2010</v>
      </c>
      <c r="Y3" s="4">
        <v>2011</v>
      </c>
      <c r="Z3" s="4">
        <v>2012</v>
      </c>
      <c r="AA3" s="4">
        <v>2013</v>
      </c>
      <c r="AB3" s="4">
        <v>2014</v>
      </c>
    </row>
    <row r="4" spans="1:28" x14ac:dyDescent="0.2">
      <c r="A4" s="287" t="s">
        <v>230</v>
      </c>
      <c r="B4" s="288">
        <f t="shared" ref="B4:G4" si="0">B6+B8+B10</f>
        <v>281.6445076</v>
      </c>
      <c r="C4" s="288">
        <f t="shared" si="0"/>
        <v>534.17431600000009</v>
      </c>
      <c r="D4" s="288">
        <f t="shared" si="0"/>
        <v>1475.1273395742801</v>
      </c>
      <c r="E4" s="288">
        <f t="shared" si="0"/>
        <v>2435.4947801169601</v>
      </c>
      <c r="F4" s="288">
        <f t="shared" si="0"/>
        <v>1129.3118326847218</v>
      </c>
      <c r="G4" s="288">
        <f t="shared" si="0"/>
        <v>2256.8162792951207</v>
      </c>
      <c r="H4" s="288">
        <v>3169.8147145031198</v>
      </c>
      <c r="I4" s="288">
        <v>3983.1649517224</v>
      </c>
      <c r="J4" s="288">
        <v>959.32494580358116</v>
      </c>
      <c r="K4" s="288">
        <v>1899.997781101182</v>
      </c>
      <c r="L4" s="288">
        <v>2844.6288752539822</v>
      </c>
      <c r="M4" s="288">
        <v>3385.9635095472022</v>
      </c>
      <c r="N4" s="288">
        <v>557.12701413175</v>
      </c>
      <c r="O4" s="288">
        <v>1201.0887876440499</v>
      </c>
      <c r="P4" s="288">
        <v>1824.8356478706501</v>
      </c>
      <c r="Q4" s="288">
        <v>2416.4723600681</v>
      </c>
      <c r="S4" s="288"/>
      <c r="T4" s="288"/>
      <c r="U4" s="288"/>
      <c r="V4" s="288"/>
      <c r="W4" s="288"/>
      <c r="X4" s="288"/>
      <c r="Y4" s="288">
        <f>E4</f>
        <v>2435.4947801169601</v>
      </c>
      <c r="Z4" s="288">
        <f>I4</f>
        <v>3983.1649517224</v>
      </c>
      <c r="AA4" s="288">
        <f>M4</f>
        <v>3385.9635095472022</v>
      </c>
      <c r="AB4" s="288">
        <f>Q4</f>
        <v>2416.4723600681</v>
      </c>
    </row>
    <row r="5" spans="1:28" s="290" customFormat="1" x14ac:dyDescent="0.2">
      <c r="A5" s="289" t="s">
        <v>137</v>
      </c>
      <c r="B5" s="13"/>
      <c r="C5" s="13"/>
      <c r="D5" s="13"/>
      <c r="E5" s="13"/>
      <c r="F5" s="13"/>
      <c r="G5" s="13"/>
      <c r="H5" s="13"/>
      <c r="I5" s="13"/>
      <c r="J5" s="13"/>
      <c r="K5" s="13"/>
      <c r="L5" s="13"/>
      <c r="M5" s="13"/>
      <c r="N5" s="13"/>
      <c r="O5" s="13"/>
      <c r="P5" s="13"/>
      <c r="Q5" s="13"/>
      <c r="S5" s="13"/>
      <c r="T5" s="13"/>
      <c r="U5" s="13"/>
      <c r="V5" s="13"/>
      <c r="W5" s="13"/>
      <c r="X5" s="13"/>
      <c r="Y5" s="13"/>
      <c r="Z5" s="14">
        <f>Z4/Y4-1</f>
        <v>0.6354643763724741</v>
      </c>
      <c r="AA5" s="14">
        <f>AA4/Z4-1</f>
        <v>-0.1499313860745225</v>
      </c>
      <c r="AB5" s="14">
        <f>AB4/AA4-1</f>
        <v>-0.28632652027864003</v>
      </c>
    </row>
    <row r="6" spans="1:28" s="290" customFormat="1" x14ac:dyDescent="0.2">
      <c r="A6" s="291" t="s">
        <v>28</v>
      </c>
      <c r="B6" s="212">
        <v>8.5612463999999999</v>
      </c>
      <c r="C6" s="212">
        <v>16.379000000000001</v>
      </c>
      <c r="D6" s="212">
        <v>20.005487293544014</v>
      </c>
      <c r="E6" s="212">
        <v>36.203126699848006</v>
      </c>
      <c r="F6" s="212">
        <v>15.410923000000002</v>
      </c>
      <c r="G6" s="212">
        <v>30.72896916800001</v>
      </c>
      <c r="H6" s="212">
        <v>44.328079168000031</v>
      </c>
      <c r="I6" s="212">
        <v>64.236994648000064</v>
      </c>
      <c r="J6" s="212">
        <v>19.713224040839993</v>
      </c>
      <c r="K6" s="212">
        <v>41.849372454439987</v>
      </c>
      <c r="L6" s="212">
        <v>64.647976388839979</v>
      </c>
      <c r="M6" s="212">
        <v>64.746770334399983</v>
      </c>
      <c r="N6" s="212">
        <v>1.5215669693999985</v>
      </c>
      <c r="O6" s="212">
        <v>4.2858050236499992</v>
      </c>
      <c r="P6" s="212">
        <v>7.0812956011499999</v>
      </c>
      <c r="Q6" s="212">
        <v>9.4349870836500003</v>
      </c>
      <c r="S6" s="212"/>
      <c r="T6" s="212"/>
      <c r="U6" s="212"/>
      <c r="V6" s="212"/>
      <c r="W6" s="212"/>
      <c r="X6" s="212"/>
      <c r="Y6" s="212">
        <f>E6</f>
        <v>36.203126699848006</v>
      </c>
      <c r="Z6" s="212">
        <f>I6</f>
        <v>64.236994648000064</v>
      </c>
      <c r="AA6" s="212">
        <f>M6</f>
        <v>64.746770334399983</v>
      </c>
      <c r="AB6" s="212">
        <f>Q6</f>
        <v>9.4349870836500003</v>
      </c>
    </row>
    <row r="7" spans="1:28" s="290" customFormat="1" x14ac:dyDescent="0.2">
      <c r="A7" s="289" t="s">
        <v>137</v>
      </c>
      <c r="B7" s="13"/>
      <c r="C7" s="13"/>
      <c r="D7" s="13"/>
      <c r="E7" s="13"/>
      <c r="F7" s="13"/>
      <c r="G7" s="13"/>
      <c r="H7" s="13"/>
      <c r="I7" s="13"/>
      <c r="J7" s="13"/>
      <c r="K7" s="13"/>
      <c r="L7" s="13"/>
      <c r="M7" s="13"/>
      <c r="N7" s="13"/>
      <c r="O7" s="13"/>
      <c r="P7" s="13"/>
      <c r="Q7" s="13"/>
      <c r="S7" s="13"/>
      <c r="T7" s="13"/>
      <c r="U7" s="13"/>
      <c r="V7" s="13"/>
      <c r="W7" s="13"/>
      <c r="X7" s="13"/>
      <c r="Y7" s="13"/>
      <c r="Z7" s="14">
        <f>Z6/Y6-1</f>
        <v>0.77434935884335521</v>
      </c>
      <c r="AA7" s="14">
        <f>AA6/Z6-1</f>
        <v>7.935858288410591E-3</v>
      </c>
      <c r="AB7" s="14">
        <f>AB6/AA6-1</f>
        <v>-0.85427864532978581</v>
      </c>
    </row>
    <row r="8" spans="1:28" s="290" customFormat="1" x14ac:dyDescent="0.2">
      <c r="A8" s="291" t="s">
        <v>218</v>
      </c>
      <c r="B8" s="212">
        <v>103.44956200000001</v>
      </c>
      <c r="C8" s="212">
        <v>209.29631600000002</v>
      </c>
      <c r="D8" s="212">
        <v>453.50242600000001</v>
      </c>
      <c r="E8" s="212">
        <v>695.81712899999991</v>
      </c>
      <c r="F8" s="212">
        <v>291.721091</v>
      </c>
      <c r="G8" s="212">
        <v>551.79394099999877</v>
      </c>
      <c r="H8" s="212">
        <v>760.81757999999775</v>
      </c>
      <c r="I8" s="212">
        <v>923.57051399999978</v>
      </c>
      <c r="J8" s="212">
        <v>223.79983500000156</v>
      </c>
      <c r="K8" s="212">
        <v>458.7581630000023</v>
      </c>
      <c r="L8" s="212">
        <v>689.22530492400244</v>
      </c>
      <c r="M8" s="212">
        <v>779.23430492400246</v>
      </c>
      <c r="N8" s="212">
        <v>99.516999999999996</v>
      </c>
      <c r="O8" s="212">
        <v>202.67170299999998</v>
      </c>
      <c r="P8" s="212">
        <v>292.318511</v>
      </c>
      <c r="Q8" s="212">
        <v>398.23951099999999</v>
      </c>
      <c r="S8" s="212"/>
      <c r="T8" s="212"/>
      <c r="U8" s="212"/>
      <c r="V8" s="212"/>
      <c r="W8" s="212"/>
      <c r="X8" s="212"/>
      <c r="Y8" s="212">
        <f>E8</f>
        <v>695.81712899999991</v>
      </c>
      <c r="Z8" s="212">
        <f>I8</f>
        <v>923.57051399999978</v>
      </c>
      <c r="AA8" s="212">
        <f>M8</f>
        <v>779.23430492400246</v>
      </c>
      <c r="AB8" s="212">
        <f>Q8</f>
        <v>398.23951099999999</v>
      </c>
    </row>
    <row r="9" spans="1:28" s="290" customFormat="1" x14ac:dyDescent="0.2">
      <c r="A9" s="289" t="s">
        <v>137</v>
      </c>
      <c r="B9" s="13"/>
      <c r="C9" s="13"/>
      <c r="D9" s="13"/>
      <c r="E9" s="13"/>
      <c r="F9" s="13"/>
      <c r="G9" s="13"/>
      <c r="H9" s="13"/>
      <c r="I9" s="13"/>
      <c r="J9" s="13"/>
      <c r="K9" s="13"/>
      <c r="L9" s="13"/>
      <c r="M9" s="13"/>
      <c r="N9" s="13"/>
      <c r="O9" s="13"/>
      <c r="P9" s="13"/>
      <c r="Q9" s="13"/>
      <c r="S9" s="13"/>
      <c r="T9" s="13"/>
      <c r="U9" s="13"/>
      <c r="V9" s="13"/>
      <c r="W9" s="13"/>
      <c r="X9" s="13"/>
      <c r="Y9" s="13"/>
      <c r="Z9" s="14">
        <f>Z8/Y8-1</f>
        <v>0.32731787636116083</v>
      </c>
      <c r="AA9" s="14">
        <f>AA8/Z8-1</f>
        <v>-0.15628065955773607</v>
      </c>
      <c r="AB9" s="14">
        <f>AB8/AA8-1</f>
        <v>-0.48893483194526488</v>
      </c>
    </row>
    <row r="10" spans="1:28" s="290" customFormat="1" x14ac:dyDescent="0.2">
      <c r="A10" s="291" t="s">
        <v>135</v>
      </c>
      <c r="B10" s="212">
        <v>169.63369919999997</v>
      </c>
      <c r="C10" s="212">
        <v>308.49900000000002</v>
      </c>
      <c r="D10" s="212">
        <v>1001.619426280736</v>
      </c>
      <c r="E10" s="212">
        <v>1703.4745244171122</v>
      </c>
      <c r="F10" s="212">
        <v>822.17981868472179</v>
      </c>
      <c r="G10" s="212">
        <v>1674.2933691271219</v>
      </c>
      <c r="H10" s="212">
        <v>2365.784177280193</v>
      </c>
      <c r="I10" s="212">
        <v>2995.3574430744002</v>
      </c>
      <c r="J10" s="212">
        <v>715.8118867627395</v>
      </c>
      <c r="K10" s="212">
        <v>1399.3902456467397</v>
      </c>
      <c r="L10" s="212">
        <v>2090.7555939411395</v>
      </c>
      <c r="M10" s="212">
        <v>2542</v>
      </c>
      <c r="N10" s="212">
        <v>456</v>
      </c>
      <c r="O10" s="212">
        <v>994.13127962040005</v>
      </c>
      <c r="P10" s="212">
        <v>1525.4358412695001</v>
      </c>
      <c r="Q10" s="212">
        <v>2008.79786198445</v>
      </c>
      <c r="S10" s="212"/>
      <c r="T10" s="212"/>
      <c r="U10" s="212"/>
      <c r="V10" s="212"/>
      <c r="W10" s="212"/>
      <c r="X10" s="212"/>
      <c r="Y10" s="212">
        <f>E10</f>
        <v>1703.4745244171122</v>
      </c>
      <c r="Z10" s="212">
        <f>I10</f>
        <v>2995.3574430744002</v>
      </c>
      <c r="AA10" s="212">
        <f>M10</f>
        <v>2542</v>
      </c>
      <c r="AB10" s="212">
        <f>Q10</f>
        <v>2008.79786198445</v>
      </c>
    </row>
    <row r="11" spans="1:28" s="290" customFormat="1" x14ac:dyDescent="0.2">
      <c r="A11" s="289" t="s">
        <v>137</v>
      </c>
      <c r="B11" s="13"/>
      <c r="C11" s="13"/>
      <c r="D11" s="13"/>
      <c r="E11" s="13"/>
      <c r="F11" s="13"/>
      <c r="G11" s="13"/>
      <c r="H11" s="13"/>
      <c r="I11" s="13"/>
      <c r="J11" s="13"/>
      <c r="K11" s="13"/>
      <c r="L11" s="13"/>
      <c r="M11" s="13"/>
      <c r="N11" s="13"/>
      <c r="O11" s="13"/>
      <c r="P11" s="13"/>
      <c r="Q11" s="13"/>
      <c r="S11" s="13"/>
      <c r="T11" s="13"/>
      <c r="U11" s="13"/>
      <c r="V11" s="13"/>
      <c r="W11" s="13"/>
      <c r="X11" s="13"/>
      <c r="Y11" s="13"/>
      <c r="Z11" s="14">
        <f>Z10/Y10-1</f>
        <v>0.75838112055085705</v>
      </c>
      <c r="AA11" s="14">
        <f>AA10/Z10-1</f>
        <v>-0.15135336990335257</v>
      </c>
      <c r="AB11" s="14">
        <f>AB10/AA10-1</f>
        <v>-0.20975693863711642</v>
      </c>
    </row>
    <row r="12" spans="1:28" s="290" customFormat="1" x14ac:dyDescent="0.2">
      <c r="A12" s="289"/>
      <c r="B12" s="13"/>
      <c r="C12" s="13"/>
      <c r="D12" s="13"/>
      <c r="E12" s="13"/>
      <c r="F12" s="13"/>
      <c r="G12" s="13"/>
      <c r="H12" s="13"/>
      <c r="I12" s="13"/>
      <c r="J12" s="13"/>
      <c r="K12" s="13"/>
      <c r="L12" s="13"/>
      <c r="M12" s="13"/>
      <c r="N12" s="13"/>
      <c r="O12" s="13"/>
      <c r="P12" s="13"/>
      <c r="Q12" s="13"/>
      <c r="S12" s="13"/>
      <c r="T12" s="13"/>
      <c r="U12" s="13"/>
      <c r="V12" s="13"/>
      <c r="W12" s="13"/>
      <c r="X12" s="13"/>
      <c r="Y12" s="13"/>
      <c r="Z12" s="13"/>
      <c r="AA12" s="13"/>
      <c r="AB12" s="13"/>
    </row>
    <row r="13" spans="1:28" x14ac:dyDescent="0.2">
      <c r="A13" s="292"/>
      <c r="B13" s="17"/>
      <c r="C13" s="17"/>
      <c r="D13" s="17"/>
      <c r="E13" s="17"/>
      <c r="F13" s="17"/>
      <c r="G13" s="17"/>
      <c r="H13" s="17"/>
      <c r="I13" s="17"/>
      <c r="J13" s="17"/>
      <c r="K13" s="17"/>
      <c r="L13" s="17"/>
      <c r="M13" s="17"/>
      <c r="N13" s="17"/>
      <c r="O13" s="17"/>
      <c r="P13" s="17"/>
      <c r="Q13" s="17"/>
      <c r="S13" s="17"/>
      <c r="T13" s="17"/>
      <c r="U13" s="17"/>
      <c r="V13" s="17"/>
      <c r="W13" s="17"/>
      <c r="X13" s="17"/>
      <c r="Y13" s="17"/>
      <c r="Z13" s="17"/>
      <c r="AA13" s="17"/>
      <c r="AB13" s="17"/>
    </row>
    <row r="14" spans="1:28" x14ac:dyDescent="0.2">
      <c r="A14" s="293" t="s">
        <v>231</v>
      </c>
      <c r="B14" s="4" t="s">
        <v>278</v>
      </c>
      <c r="C14" s="4" t="s">
        <v>211</v>
      </c>
      <c r="D14" s="4" t="s">
        <v>213</v>
      </c>
      <c r="E14" s="4" t="s">
        <v>215</v>
      </c>
      <c r="F14" s="4" t="s">
        <v>272</v>
      </c>
      <c r="G14" s="4" t="s">
        <v>227</v>
      </c>
      <c r="H14" s="4" t="s">
        <v>237</v>
      </c>
      <c r="I14" s="4" t="s">
        <v>239</v>
      </c>
      <c r="J14" s="4" t="s">
        <v>273</v>
      </c>
      <c r="K14" s="4" t="s">
        <v>274</v>
      </c>
      <c r="L14" s="4" t="s">
        <v>248</v>
      </c>
      <c r="M14" s="4" t="s">
        <v>255</v>
      </c>
      <c r="N14" s="4" t="s">
        <v>275</v>
      </c>
      <c r="O14" s="4" t="s">
        <v>276</v>
      </c>
      <c r="P14" s="4" t="s">
        <v>277</v>
      </c>
      <c r="Q14" s="4" t="s">
        <v>295</v>
      </c>
      <c r="S14" s="4">
        <v>2008</v>
      </c>
      <c r="T14" s="4">
        <v>2009</v>
      </c>
      <c r="U14" s="4">
        <v>2010</v>
      </c>
      <c r="V14" s="4">
        <v>2008</v>
      </c>
      <c r="W14" s="4">
        <v>2009</v>
      </c>
      <c r="X14" s="4">
        <v>2010</v>
      </c>
      <c r="Y14" s="4">
        <v>2011</v>
      </c>
      <c r="Z14" s="4">
        <v>2012</v>
      </c>
      <c r="AA14" s="4">
        <v>2013</v>
      </c>
      <c r="AB14" s="4">
        <v>2014</v>
      </c>
    </row>
    <row r="15" spans="1:28" x14ac:dyDescent="0.2">
      <c r="A15" s="294" t="s">
        <v>219</v>
      </c>
      <c r="B15" s="295">
        <v>812.63737106487463</v>
      </c>
      <c r="C15" s="295">
        <v>881.48655637756815</v>
      </c>
      <c r="D15" s="295">
        <v>897.9948903809327</v>
      </c>
      <c r="E15" s="295">
        <v>893.27405888324381</v>
      </c>
      <c r="F15" s="295">
        <v>849.36620518240932</v>
      </c>
      <c r="G15" s="295">
        <v>878.2903849901877</v>
      </c>
      <c r="H15" s="295">
        <v>811.25529906339739</v>
      </c>
      <c r="I15" s="295">
        <v>818.79231832715925</v>
      </c>
      <c r="J15" s="295">
        <v>769.91170294774531</v>
      </c>
      <c r="K15" s="295">
        <v>771.19005883329089</v>
      </c>
      <c r="L15" s="295">
        <v>765.25600169453332</v>
      </c>
      <c r="M15" s="295">
        <v>767.31080162720434</v>
      </c>
      <c r="N15" s="295">
        <v>797.99762756565167</v>
      </c>
      <c r="O15" s="295">
        <v>792.33136179197174</v>
      </c>
      <c r="P15" s="295">
        <v>794.408638127681</v>
      </c>
      <c r="Q15" s="295">
        <v>791.50736676437396</v>
      </c>
      <c r="S15" s="295"/>
      <c r="T15" s="295"/>
      <c r="U15" s="295"/>
      <c r="V15" s="295"/>
      <c r="W15" s="295"/>
      <c r="X15" s="295"/>
      <c r="Y15" s="295">
        <f>E15</f>
        <v>893.27405888324381</v>
      </c>
      <c r="Z15" s="295">
        <f>I15</f>
        <v>818.79231832715925</v>
      </c>
      <c r="AA15" s="295">
        <f>M15</f>
        <v>767.31080162720434</v>
      </c>
      <c r="AB15" s="295">
        <f>Q15</f>
        <v>791.50736676437396</v>
      </c>
    </row>
    <row r="16" spans="1:28" s="290" customFormat="1" x14ac:dyDescent="0.2">
      <c r="A16" s="289" t="s">
        <v>137</v>
      </c>
      <c r="B16" s="24"/>
      <c r="C16" s="24"/>
      <c r="D16" s="24"/>
      <c r="E16" s="24"/>
      <c r="F16" s="24"/>
      <c r="G16" s="24"/>
      <c r="H16" s="24"/>
      <c r="I16" s="24"/>
      <c r="J16" s="24"/>
      <c r="K16" s="24"/>
      <c r="L16" s="24"/>
      <c r="M16" s="24"/>
      <c r="N16" s="24"/>
      <c r="O16" s="24"/>
      <c r="P16" s="24"/>
      <c r="Q16" s="24"/>
      <c r="S16" s="24"/>
      <c r="T16" s="24"/>
      <c r="U16" s="24"/>
      <c r="V16" s="24"/>
      <c r="W16" s="24"/>
      <c r="X16" s="24"/>
      <c r="Y16" s="24"/>
      <c r="Z16" s="14">
        <f>Z15/Y15-1</f>
        <v>-8.3380615182310769E-2</v>
      </c>
      <c r="AA16" s="14">
        <f>AA15/Z15-1</f>
        <v>-6.2874938549905668E-2</v>
      </c>
      <c r="AB16" s="14">
        <f>AB15/AA15-1</f>
        <v>3.1534242820323799E-2</v>
      </c>
    </row>
    <row r="17" spans="1:47" s="290" customFormat="1" x14ac:dyDescent="0.2">
      <c r="A17" s="291" t="s">
        <v>232</v>
      </c>
      <c r="B17" s="295">
        <v>591.40208836881516</v>
      </c>
      <c r="C17" s="295">
        <v>620.36754380609307</v>
      </c>
      <c r="D17" s="295">
        <v>831.5981426572489</v>
      </c>
      <c r="E17" s="295">
        <v>848.77711223644394</v>
      </c>
      <c r="F17" s="295">
        <v>967.37842496300971</v>
      </c>
      <c r="G17" s="295">
        <v>1045.8908502038203</v>
      </c>
      <c r="H17" s="295">
        <v>975.68204813588693</v>
      </c>
      <c r="I17" s="295">
        <v>948.85985820476753</v>
      </c>
      <c r="J17" s="295">
        <v>909.91688765339904</v>
      </c>
      <c r="K17" s="295">
        <v>855.95542043304397</v>
      </c>
      <c r="L17" s="295">
        <v>853.11975511064907</v>
      </c>
      <c r="M17" s="295">
        <v>859.84648470789386</v>
      </c>
      <c r="N17" s="295">
        <v>416.10984119198292</v>
      </c>
      <c r="O17" s="295">
        <v>401.4544059997138</v>
      </c>
      <c r="P17" s="295">
        <v>384.18892011204599</v>
      </c>
      <c r="Q17" s="295">
        <v>376.99859665562525</v>
      </c>
      <c r="S17" s="295"/>
      <c r="T17" s="295"/>
      <c r="U17" s="295"/>
      <c r="V17" s="295"/>
      <c r="W17" s="295"/>
      <c r="X17" s="295"/>
      <c r="Y17" s="295">
        <f>E17</f>
        <v>848.77711223644394</v>
      </c>
      <c r="Z17" s="295">
        <f>I17</f>
        <v>948.85985820476753</v>
      </c>
      <c r="AA17" s="295">
        <f>M17</f>
        <v>859.84648470789386</v>
      </c>
      <c r="AB17" s="295">
        <f>Q17</f>
        <v>376.99859665562525</v>
      </c>
    </row>
    <row r="18" spans="1:47" s="290" customFormat="1" x14ac:dyDescent="0.2">
      <c r="A18" s="289" t="s">
        <v>137</v>
      </c>
      <c r="B18" s="24"/>
      <c r="C18" s="24"/>
      <c r="D18" s="24"/>
      <c r="E18" s="24"/>
      <c r="F18" s="24"/>
      <c r="G18" s="24"/>
      <c r="H18" s="24"/>
      <c r="I18" s="24"/>
      <c r="J18" s="24"/>
      <c r="K18" s="24"/>
      <c r="L18" s="24"/>
      <c r="M18" s="24"/>
      <c r="N18" s="24"/>
      <c r="O18" s="24"/>
      <c r="P18" s="24"/>
      <c r="Q18" s="24"/>
      <c r="S18" s="24"/>
      <c r="T18" s="24"/>
      <c r="U18" s="24"/>
      <c r="V18" s="24"/>
      <c r="W18" s="24"/>
      <c r="X18" s="24"/>
      <c r="Y18" s="24"/>
      <c r="Z18" s="14">
        <f>Z17/Y17-1</f>
        <v>0.11791404895993884</v>
      </c>
      <c r="AA18" s="14">
        <f>AA17/Z17-1</f>
        <v>-9.3810874943414668E-2</v>
      </c>
      <c r="AB18" s="14">
        <f>AB17/AA17-1</f>
        <v>-0.56155127297671181</v>
      </c>
    </row>
    <row r="19" spans="1:47" s="290" customFormat="1" x14ac:dyDescent="0.2">
      <c r="A19" s="291" t="s">
        <v>218</v>
      </c>
      <c r="B19" s="295">
        <v>942.49771913896643</v>
      </c>
      <c r="C19" s="295">
        <v>999.81921476431012</v>
      </c>
      <c r="D19" s="295">
        <v>1008.8820324468637</v>
      </c>
      <c r="E19" s="295">
        <v>1010.4461657166717</v>
      </c>
      <c r="F19" s="295">
        <v>924.31359426556048</v>
      </c>
      <c r="G19" s="295">
        <v>990.32302830040214</v>
      </c>
      <c r="H19" s="295">
        <v>909.47047771979453</v>
      </c>
      <c r="I19" s="295">
        <v>900.44808535695938</v>
      </c>
      <c r="J19" s="295">
        <v>814.15890121431642</v>
      </c>
      <c r="K19" s="295">
        <v>833.36866409175764</v>
      </c>
      <c r="L19" s="295">
        <v>830.50550497837492</v>
      </c>
      <c r="M19" s="295">
        <v>831.84788324704209</v>
      </c>
      <c r="N19" s="295">
        <v>808.12708723003914</v>
      </c>
      <c r="O19" s="295">
        <v>813.99706779529265</v>
      </c>
      <c r="P19" s="295">
        <v>813.40785143462369</v>
      </c>
      <c r="Q19" s="295">
        <v>802.84691511776634</v>
      </c>
      <c r="S19" s="295"/>
      <c r="T19" s="295"/>
      <c r="U19" s="295"/>
      <c r="V19" s="295"/>
      <c r="W19" s="295"/>
      <c r="X19" s="295"/>
      <c r="Y19" s="295">
        <f>E19</f>
        <v>1010.4461657166717</v>
      </c>
      <c r="Z19" s="295">
        <f>I19</f>
        <v>900.44808535695938</v>
      </c>
      <c r="AA19" s="295">
        <f>M19</f>
        <v>831.84788324704209</v>
      </c>
      <c r="AB19" s="295">
        <f>Q19</f>
        <v>802.84691511776634</v>
      </c>
    </row>
    <row r="20" spans="1:47" s="290" customFormat="1" x14ac:dyDescent="0.2">
      <c r="A20" s="289" t="s">
        <v>137</v>
      </c>
      <c r="B20" s="24"/>
      <c r="C20" s="24"/>
      <c r="D20" s="24"/>
      <c r="E20" s="24"/>
      <c r="F20" s="295"/>
      <c r="G20" s="24"/>
      <c r="H20" s="24"/>
      <c r="I20" s="24"/>
      <c r="J20" s="24"/>
      <c r="K20" s="24"/>
      <c r="L20" s="24"/>
      <c r="M20" s="24"/>
      <c r="N20" s="24"/>
      <c r="O20" s="24"/>
      <c r="P20" s="24"/>
      <c r="Q20" s="24"/>
      <c r="S20" s="24"/>
      <c r="T20" s="24"/>
      <c r="U20" s="24"/>
      <c r="V20" s="24"/>
      <c r="W20" s="24"/>
      <c r="X20" s="24"/>
      <c r="Y20" s="24"/>
      <c r="Z20" s="14">
        <f>Z19/Y19-1</f>
        <v>-0.10886090134420445</v>
      </c>
      <c r="AA20" s="14">
        <f>AA19/Z19-1</f>
        <v>-7.6184516604000052E-2</v>
      </c>
      <c r="AB20" s="14">
        <f>AB19/AA19-1</f>
        <v>-3.4863306997997223E-2</v>
      </c>
    </row>
    <row r="21" spans="1:47" s="290" customFormat="1" x14ac:dyDescent="0.2">
      <c r="A21" s="291" t="s">
        <v>135</v>
      </c>
      <c r="B21" s="295">
        <v>744.60875165540233</v>
      </c>
      <c r="C21" s="295">
        <v>815.06909260645898</v>
      </c>
      <c r="D21" s="295">
        <v>849.11475950329441</v>
      </c>
      <c r="E21" s="295">
        <v>846.35851701104991</v>
      </c>
      <c r="F21" s="295">
        <v>820.56178697019618</v>
      </c>
      <c r="G21" s="295">
        <v>838.29194473130042</v>
      </c>
      <c r="H21" s="295">
        <v>776.58917977726105</v>
      </c>
      <c r="I21" s="295">
        <v>790.82570393078436</v>
      </c>
      <c r="J21" s="295">
        <v>752.22204246792467</v>
      </c>
      <c r="K21" s="295">
        <v>748.27127687459733</v>
      </c>
      <c r="L21" s="295">
        <v>743.74626190128845</v>
      </c>
      <c r="M21" s="295">
        <v>745.17024951368569</v>
      </c>
      <c r="N21" s="295">
        <v>797.0614372317068</v>
      </c>
      <c r="O21" s="295">
        <v>789.59952630172938</v>
      </c>
      <c r="P21" s="295">
        <v>790.76782833824086</v>
      </c>
      <c r="Q21" s="295">
        <v>789.25932763775177</v>
      </c>
      <c r="S21" s="295"/>
      <c r="T21" s="295"/>
      <c r="U21" s="295"/>
      <c r="V21" s="295"/>
      <c r="W21" s="295"/>
      <c r="X21" s="295"/>
      <c r="Y21" s="295">
        <f>E21</f>
        <v>846.35851701104991</v>
      </c>
      <c r="Z21" s="295">
        <f>I21</f>
        <v>790.82570393078436</v>
      </c>
      <c r="AA21" s="295">
        <f>M21</f>
        <v>745.17024951368569</v>
      </c>
      <c r="AB21" s="295">
        <f>Q21</f>
        <v>789.25932763775177</v>
      </c>
    </row>
    <row r="22" spans="1:47" s="290" customFormat="1" x14ac:dyDescent="0.2">
      <c r="A22" s="289" t="s">
        <v>137</v>
      </c>
      <c r="B22" s="24"/>
      <c r="C22" s="24"/>
      <c r="D22" s="24"/>
      <c r="E22" s="24"/>
      <c r="F22" s="24"/>
      <c r="G22" s="24"/>
      <c r="H22" s="24"/>
      <c r="I22" s="24"/>
      <c r="J22" s="24"/>
      <c r="K22" s="24"/>
      <c r="L22" s="24"/>
      <c r="M22" s="24"/>
      <c r="N22" s="24"/>
      <c r="O22" s="24"/>
      <c r="P22" s="24"/>
      <c r="Q22" s="24"/>
      <c r="S22" s="24"/>
      <c r="T22" s="24"/>
      <c r="U22" s="24"/>
      <c r="V22" s="24"/>
      <c r="W22" s="24"/>
      <c r="X22" s="24"/>
      <c r="Y22" s="24"/>
      <c r="Z22" s="14">
        <f>Z21/Y21-1</f>
        <v>-6.5613817270229635E-2</v>
      </c>
      <c r="AA22" s="14">
        <f>AA21/Z21-1</f>
        <v>-5.773137391737404E-2</v>
      </c>
      <c r="AB22" s="14">
        <f>AB21/AA21-1</f>
        <v>5.9166449751368422E-2</v>
      </c>
    </row>
    <row r="23" spans="1:47" x14ac:dyDescent="0.2">
      <c r="A23" s="292"/>
      <c r="B23" s="26"/>
      <c r="C23" s="26"/>
      <c r="D23" s="26"/>
      <c r="E23" s="26"/>
      <c r="F23" s="26"/>
      <c r="G23" s="26"/>
      <c r="H23" s="26"/>
      <c r="I23" s="26"/>
      <c r="J23" s="26"/>
      <c r="K23" s="26"/>
      <c r="L23" s="26"/>
      <c r="M23" s="26"/>
      <c r="N23" s="26"/>
      <c r="O23" s="26"/>
      <c r="P23" s="26"/>
      <c r="Q23" s="26"/>
      <c r="S23" s="26"/>
      <c r="T23" s="26"/>
      <c r="U23" s="26"/>
      <c r="V23" s="26"/>
      <c r="W23" s="26"/>
      <c r="X23" s="26"/>
      <c r="Y23" s="26"/>
      <c r="Z23" s="26"/>
      <c r="AA23" s="26"/>
      <c r="AB23" s="26"/>
    </row>
    <row r="24" spans="1:47" x14ac:dyDescent="0.2">
      <c r="A24" s="286" t="s">
        <v>1</v>
      </c>
      <c r="B24" s="4" t="s">
        <v>278</v>
      </c>
      <c r="C24" s="4" t="s">
        <v>211</v>
      </c>
      <c r="D24" s="4" t="s">
        <v>213</v>
      </c>
      <c r="E24" s="4" t="s">
        <v>215</v>
      </c>
      <c r="F24" s="4" t="s">
        <v>272</v>
      </c>
      <c r="G24" s="4" t="s">
        <v>227</v>
      </c>
      <c r="H24" s="4" t="s">
        <v>237</v>
      </c>
      <c r="I24" s="4" t="s">
        <v>239</v>
      </c>
      <c r="J24" s="4" t="s">
        <v>273</v>
      </c>
      <c r="K24" s="4" t="s">
        <v>274</v>
      </c>
      <c r="L24" s="4" t="s">
        <v>248</v>
      </c>
      <c r="M24" s="4" t="s">
        <v>255</v>
      </c>
      <c r="N24" s="4" t="s">
        <v>275</v>
      </c>
      <c r="O24" s="4" t="s">
        <v>276</v>
      </c>
      <c r="P24" s="4" t="s">
        <v>277</v>
      </c>
      <c r="Q24" s="4" t="s">
        <v>295</v>
      </c>
      <c r="S24" s="4">
        <v>2008</v>
      </c>
      <c r="T24" s="4">
        <v>2009</v>
      </c>
      <c r="U24" s="4">
        <v>2010</v>
      </c>
      <c r="V24" s="4">
        <v>2008</v>
      </c>
      <c r="W24" s="4">
        <v>2009</v>
      </c>
      <c r="X24" s="4">
        <v>2010</v>
      </c>
      <c r="Y24" s="4">
        <v>2011</v>
      </c>
      <c r="Z24" s="4">
        <v>2012</v>
      </c>
      <c r="AA24" s="4">
        <v>2013</v>
      </c>
      <c r="AB24" s="4">
        <v>2014</v>
      </c>
    </row>
    <row r="25" spans="1:47" x14ac:dyDescent="0.2">
      <c r="A25" s="287" t="s">
        <v>26</v>
      </c>
      <c r="B25" s="296">
        <v>242.42</v>
      </c>
      <c r="C25" s="296">
        <v>497.37</v>
      </c>
      <c r="D25" s="296">
        <v>1475.1790000000001</v>
      </c>
      <c r="E25" s="295">
        <v>2381.5340000000001</v>
      </c>
      <c r="F25" s="295">
        <v>988.97900000000004</v>
      </c>
      <c r="G25" s="295">
        <v>2015.3209999999999</v>
      </c>
      <c r="H25" s="295">
        <v>2774.453</v>
      </c>
      <c r="I25" s="295">
        <v>3466.6819999999998</v>
      </c>
      <c r="J25" s="295">
        <v>816.02800000000002</v>
      </c>
      <c r="K25" s="295">
        <v>1545.8140000000001</v>
      </c>
      <c r="L25" s="295">
        <v>2295.2919999999999</v>
      </c>
      <c r="M25" s="295">
        <v>2740.056</v>
      </c>
      <c r="N25" s="295">
        <v>470.56099999999998</v>
      </c>
      <c r="O25" s="295">
        <v>1003.668</v>
      </c>
      <c r="P25" s="295">
        <v>1526.886</v>
      </c>
      <c r="Q25" s="295">
        <v>2014.9849999999999</v>
      </c>
      <c r="S25" s="296"/>
      <c r="T25" s="296"/>
      <c r="U25" s="296"/>
      <c r="V25" s="296"/>
      <c r="W25" s="296"/>
      <c r="X25" s="296"/>
      <c r="Y25" s="296">
        <f>E25</f>
        <v>2381.5340000000001</v>
      </c>
      <c r="Z25" s="296">
        <f>I25</f>
        <v>3466.6819999999998</v>
      </c>
      <c r="AA25" s="296">
        <f>M25</f>
        <v>2740.056</v>
      </c>
      <c r="AB25" s="296">
        <f>Q25</f>
        <v>2014.9849999999999</v>
      </c>
    </row>
    <row r="26" spans="1:47" s="290" customFormat="1" x14ac:dyDescent="0.2">
      <c r="A26" s="289" t="s">
        <v>137</v>
      </c>
      <c r="B26" s="13"/>
      <c r="C26" s="13"/>
      <c r="D26" s="13"/>
      <c r="E26" s="13"/>
      <c r="F26" s="13"/>
      <c r="G26" s="13"/>
      <c r="H26" s="13"/>
      <c r="I26" s="13"/>
      <c r="J26" s="13"/>
      <c r="K26" s="13"/>
      <c r="L26" s="13"/>
      <c r="M26" s="13"/>
      <c r="N26" s="13"/>
      <c r="O26" s="13"/>
      <c r="P26" s="13"/>
      <c r="Q26" s="13"/>
      <c r="S26" s="13"/>
      <c r="T26" s="13"/>
      <c r="U26" s="13"/>
      <c r="V26" s="13"/>
      <c r="W26" s="13"/>
      <c r="X26" s="13"/>
      <c r="Y26" s="13"/>
      <c r="Z26" s="14">
        <f>Z25/Y25-1</f>
        <v>0.4556508536094801</v>
      </c>
      <c r="AA26" s="14">
        <f>AA25/Z25-1</f>
        <v>-0.20960272675717007</v>
      </c>
      <c r="AB26" s="14">
        <f>AB25/AA25-1</f>
        <v>-0.26461904428230665</v>
      </c>
    </row>
    <row r="27" spans="1:47" x14ac:dyDescent="0.2">
      <c r="A27" s="292" t="s">
        <v>138</v>
      </c>
      <c r="B27" s="295" t="s">
        <v>139</v>
      </c>
      <c r="C27" s="295" t="s">
        <v>139</v>
      </c>
      <c r="D27" s="295" t="s">
        <v>139</v>
      </c>
      <c r="E27" s="295">
        <v>119.432</v>
      </c>
      <c r="F27" s="295" t="s">
        <v>139</v>
      </c>
      <c r="G27" s="295" t="s">
        <v>139</v>
      </c>
      <c r="H27" s="295" t="s">
        <v>139</v>
      </c>
      <c r="I27" s="295">
        <v>198.5</v>
      </c>
      <c r="J27" s="295" t="s">
        <v>139</v>
      </c>
      <c r="K27" s="295" t="s">
        <v>139</v>
      </c>
      <c r="L27" s="295" t="s">
        <v>139</v>
      </c>
      <c r="M27" s="295">
        <v>163.19300000000001</v>
      </c>
      <c r="N27" s="295" t="s">
        <v>139</v>
      </c>
      <c r="O27" s="295" t="s">
        <v>139</v>
      </c>
      <c r="P27" s="295" t="s">
        <v>139</v>
      </c>
      <c r="Q27" s="295">
        <v>87.373999999999995</v>
      </c>
      <c r="S27" s="295"/>
      <c r="T27" s="295"/>
      <c r="U27" s="295"/>
      <c r="V27" s="295"/>
      <c r="W27" s="295"/>
      <c r="X27" s="295"/>
      <c r="Y27" s="295">
        <f>E27</f>
        <v>119.432</v>
      </c>
      <c r="Z27" s="295">
        <f>I27</f>
        <v>198.5</v>
      </c>
      <c r="AA27" s="295">
        <f>M27</f>
        <v>163.19300000000001</v>
      </c>
      <c r="AB27" s="295">
        <f>Q27</f>
        <v>87.373999999999995</v>
      </c>
    </row>
    <row r="28" spans="1:47" s="290" customFormat="1" x14ac:dyDescent="0.2">
      <c r="A28" s="289" t="s">
        <v>137</v>
      </c>
      <c r="B28" s="13"/>
      <c r="C28" s="13"/>
      <c r="D28" s="13"/>
      <c r="E28" s="13"/>
      <c r="F28" s="13"/>
      <c r="G28" s="13"/>
      <c r="H28" s="13"/>
      <c r="I28" s="13"/>
      <c r="J28" s="13"/>
      <c r="K28" s="13"/>
      <c r="L28" s="13"/>
      <c r="M28" s="13"/>
      <c r="N28" s="13"/>
      <c r="O28" s="13"/>
      <c r="P28" s="13"/>
      <c r="Q28" s="13"/>
      <c r="S28" s="13"/>
      <c r="T28" s="13"/>
      <c r="U28" s="13"/>
      <c r="V28" s="13"/>
      <c r="W28" s="13"/>
      <c r="X28" s="13"/>
      <c r="Y28" s="13"/>
      <c r="Z28" s="14">
        <f>Z27/Y27-1</f>
        <v>0.66203362582892344</v>
      </c>
      <c r="AA28" s="14">
        <f>AA27/Z27-1</f>
        <v>-0.17786901763224172</v>
      </c>
      <c r="AB28" s="14">
        <f>AB27/AA27-1</f>
        <v>-0.46459713345547915</v>
      </c>
    </row>
    <row r="29" spans="1:47" x14ac:dyDescent="0.2">
      <c r="A29" s="292" t="s">
        <v>3</v>
      </c>
      <c r="B29" s="297">
        <v>3.6709999999999998</v>
      </c>
      <c r="C29" s="297">
        <v>12.166</v>
      </c>
      <c r="D29" s="297">
        <v>-174.71600000000001</v>
      </c>
      <c r="E29" s="297">
        <v>-305.20999999999998</v>
      </c>
      <c r="F29" s="297">
        <v>-62.773000000000003</v>
      </c>
      <c r="G29" s="297">
        <v>-118.997</v>
      </c>
      <c r="H29" s="297">
        <v>-229.36600000000001</v>
      </c>
      <c r="I29" s="297">
        <v>-346.90100000000001</v>
      </c>
      <c r="J29" s="297">
        <v>-74.007999999999996</v>
      </c>
      <c r="K29" s="297">
        <v>-183.84200000000001</v>
      </c>
      <c r="L29" s="297">
        <v>-266.75099999999998</v>
      </c>
      <c r="M29" s="297">
        <v>-257.18200000000002</v>
      </c>
      <c r="N29" s="297">
        <v>2.7959999999999998</v>
      </c>
      <c r="O29" s="297">
        <v>1.7</v>
      </c>
      <c r="P29" s="297">
        <v>-64.924999999999997</v>
      </c>
      <c r="Q29" s="297">
        <v>9.3320000000000007</v>
      </c>
      <c r="S29" s="297"/>
      <c r="T29" s="297"/>
      <c r="U29" s="297"/>
      <c r="V29" s="297"/>
      <c r="W29" s="297"/>
      <c r="X29" s="297"/>
      <c r="Y29" s="297">
        <f>E29</f>
        <v>-305.20999999999998</v>
      </c>
      <c r="Z29" s="297">
        <f>I29</f>
        <v>-346.90100000000001</v>
      </c>
      <c r="AA29" s="297">
        <f>M29</f>
        <v>-257.18200000000002</v>
      </c>
      <c r="AB29" s="297">
        <f>Q29</f>
        <v>9.3320000000000007</v>
      </c>
    </row>
    <row r="30" spans="1:47" s="290" customFormat="1" x14ac:dyDescent="0.2">
      <c r="A30" s="289" t="s">
        <v>137</v>
      </c>
      <c r="B30" s="31"/>
      <c r="C30" s="31"/>
      <c r="D30" s="31"/>
      <c r="E30" s="31"/>
      <c r="F30" s="31"/>
      <c r="G30" s="31"/>
      <c r="H30" s="31"/>
      <c r="I30" s="31"/>
      <c r="J30" s="31"/>
      <c r="K30" s="31"/>
      <c r="L30" s="31"/>
      <c r="M30" s="31"/>
      <c r="N30" s="31"/>
      <c r="O30" s="31"/>
      <c r="P30" s="31"/>
      <c r="Q30" s="31"/>
      <c r="S30" s="31"/>
      <c r="T30" s="31"/>
      <c r="U30" s="31"/>
      <c r="V30" s="31"/>
      <c r="W30" s="31"/>
      <c r="X30" s="31"/>
      <c r="Y30" s="31"/>
      <c r="Z30" s="14">
        <f>Z29/Y29-1</f>
        <v>0.1365977523672226</v>
      </c>
      <c r="AA30" s="14">
        <f>AA29/Z29-1</f>
        <v>-0.25862998377058577</v>
      </c>
      <c r="AB30" s="14">
        <f>AB29/AA29-1</f>
        <v>-1.0362855876383261</v>
      </c>
    </row>
    <row r="31" spans="1:47" s="36" customFormat="1" x14ac:dyDescent="0.2">
      <c r="A31" s="18" t="s">
        <v>2</v>
      </c>
      <c r="B31" s="21" t="s">
        <v>141</v>
      </c>
      <c r="C31" s="21" t="s">
        <v>141</v>
      </c>
      <c r="D31" s="21" t="s">
        <v>141</v>
      </c>
      <c r="E31" s="297">
        <v>-185.7786669124072</v>
      </c>
      <c r="F31" s="297">
        <v>-9.843</v>
      </c>
      <c r="G31" s="297">
        <v>-14.763</v>
      </c>
      <c r="H31" s="297">
        <v>-76.375</v>
      </c>
      <c r="I31" s="297">
        <v>-148.40100000000001</v>
      </c>
      <c r="J31" s="297">
        <v>-26.100999999999999</v>
      </c>
      <c r="K31" s="297">
        <v>-88.504999999999995</v>
      </c>
      <c r="L31" s="297">
        <v>-143.15899999999999</v>
      </c>
      <c r="M31" s="297">
        <v>-93.989000000000004</v>
      </c>
      <c r="N31" s="297">
        <v>23.01</v>
      </c>
      <c r="O31" s="297">
        <v>42.070999999999998</v>
      </c>
      <c r="P31" s="297">
        <v>77.930999999999997</v>
      </c>
      <c r="Q31" s="297">
        <v>96.706000000000003</v>
      </c>
      <c r="R31" s="21"/>
      <c r="S31" s="21">
        <v>241.012</v>
      </c>
      <c r="T31" s="21">
        <v>0</v>
      </c>
      <c r="U31" s="21">
        <v>0</v>
      </c>
      <c r="V31" s="21">
        <v>0</v>
      </c>
      <c r="W31" s="21">
        <v>601.60299999999995</v>
      </c>
      <c r="X31" s="21">
        <v>0</v>
      </c>
      <c r="Y31" s="297">
        <f>E31</f>
        <v>-185.7786669124072</v>
      </c>
      <c r="Z31" s="297">
        <f>I31</f>
        <v>-148.40100000000001</v>
      </c>
      <c r="AA31" s="297">
        <f>M31</f>
        <v>-93.989000000000004</v>
      </c>
      <c r="AB31" s="297">
        <f>Q31</f>
        <v>96.706000000000003</v>
      </c>
      <c r="AC31" s="21"/>
      <c r="AD31" s="21"/>
      <c r="AE31" s="21"/>
      <c r="AF31" s="21"/>
      <c r="AG31" s="21"/>
      <c r="AH31" s="21"/>
      <c r="AI31" s="21"/>
      <c r="AJ31" s="21"/>
      <c r="AK31" s="21"/>
      <c r="AL31" s="30"/>
      <c r="AM31" s="21"/>
      <c r="AN31" s="21"/>
      <c r="AO31" s="21"/>
      <c r="AP31" s="23"/>
      <c r="AQ31" s="21"/>
      <c r="AR31" s="21"/>
      <c r="AS31" s="21"/>
      <c r="AT31" s="21"/>
      <c r="AU31" s="21"/>
    </row>
    <row r="32" spans="1:47" s="36" customFormat="1" x14ac:dyDescent="0.2">
      <c r="A32" s="9" t="s">
        <v>137</v>
      </c>
      <c r="B32" s="267"/>
      <c r="C32" s="267"/>
      <c r="D32" s="267"/>
      <c r="E32" s="266"/>
      <c r="F32" s="267"/>
      <c r="G32" s="267"/>
      <c r="H32" s="267"/>
      <c r="I32" s="266"/>
      <c r="J32" s="268"/>
      <c r="K32" s="268"/>
      <c r="L32" s="266"/>
      <c r="M32" s="266"/>
      <c r="N32" s="267"/>
      <c r="O32" s="267"/>
      <c r="P32" s="267"/>
      <c r="Q32" s="267"/>
      <c r="R32" s="267"/>
      <c r="S32" s="267"/>
      <c r="T32" s="267"/>
      <c r="U32" s="267"/>
      <c r="V32" s="267"/>
      <c r="W32" s="267"/>
      <c r="X32" s="267"/>
      <c r="Y32" s="267"/>
      <c r="Z32" s="14">
        <f>Z31/Y31-1</f>
        <v>-0.2011946125656634</v>
      </c>
      <c r="AA32" s="14">
        <f>AA31/Z31-1</f>
        <v>-0.36665521121825329</v>
      </c>
      <c r="AB32" s="14">
        <f>AB31/AA31-1</f>
        <v>-2.0289076381278663</v>
      </c>
      <c r="AC32" s="267"/>
      <c r="AD32" s="267"/>
      <c r="AE32" s="267"/>
      <c r="AF32" s="267"/>
      <c r="AG32" s="267"/>
      <c r="AH32" s="267"/>
      <c r="AI32" s="267"/>
      <c r="AJ32" s="267"/>
      <c r="AK32" s="267"/>
      <c r="AL32" s="235"/>
      <c r="AM32" s="267"/>
      <c r="AN32" s="262"/>
      <c r="AO32" s="262"/>
      <c r="AP32" s="262"/>
      <c r="AQ32" s="262"/>
      <c r="AR32" s="262"/>
      <c r="AS32" s="262"/>
      <c r="AT32" s="262"/>
      <c r="AU32" s="262"/>
    </row>
    <row r="33" spans="1:47" s="36" customFormat="1" x14ac:dyDescent="0.2">
      <c r="A33" s="328" t="s">
        <v>267</v>
      </c>
      <c r="B33" s="21" t="s">
        <v>141</v>
      </c>
      <c r="C33" s="21" t="s">
        <v>141</v>
      </c>
      <c r="D33" s="21" t="s">
        <v>141</v>
      </c>
      <c r="E33" s="297">
        <v>-326.68764549750227</v>
      </c>
      <c r="F33" s="297">
        <v>-63.054000000000002</v>
      </c>
      <c r="G33" s="297">
        <v>-124.31399999999999</v>
      </c>
      <c r="H33" s="297">
        <v>-233.13200000000001</v>
      </c>
      <c r="I33" s="297">
        <v>-429.86</v>
      </c>
      <c r="J33" s="297">
        <v>-91.358000000000004</v>
      </c>
      <c r="K33" s="297">
        <v>-273.12</v>
      </c>
      <c r="L33" s="297">
        <v>-357.255</v>
      </c>
      <c r="M33" s="297">
        <v>-343.53300000000002</v>
      </c>
      <c r="N33" s="297">
        <v>-6.5149999999999997</v>
      </c>
      <c r="O33" s="297">
        <v>-19.059999999999999</v>
      </c>
      <c r="P33" s="297">
        <v>-183.64699999999999</v>
      </c>
      <c r="Q33" s="297">
        <v>111.04900000000001</v>
      </c>
      <c r="R33" s="21"/>
      <c r="S33" s="21">
        <v>140.124</v>
      </c>
      <c r="T33" s="21">
        <v>0</v>
      </c>
      <c r="U33" s="21">
        <v>0</v>
      </c>
      <c r="V33" s="21">
        <v>0</v>
      </c>
      <c r="W33" s="21">
        <v>428.173</v>
      </c>
      <c r="X33" s="21">
        <v>0</v>
      </c>
      <c r="Y33" s="297">
        <f>E33</f>
        <v>-326.68764549750227</v>
      </c>
      <c r="Z33" s="297">
        <f>I33</f>
        <v>-429.86</v>
      </c>
      <c r="AA33" s="297">
        <f>M33</f>
        <v>-343.53300000000002</v>
      </c>
      <c r="AB33" s="297">
        <f>Q33</f>
        <v>111.04900000000001</v>
      </c>
      <c r="AC33" s="21"/>
      <c r="AD33" s="21"/>
      <c r="AE33" s="21"/>
      <c r="AF33" s="21"/>
      <c r="AG33" s="21"/>
      <c r="AH33" s="21"/>
      <c r="AI33" s="21"/>
      <c r="AJ33" s="21"/>
      <c r="AK33" s="21"/>
      <c r="AL33" s="30"/>
      <c r="AM33" s="21"/>
      <c r="AN33" s="21"/>
      <c r="AO33" s="21"/>
      <c r="AP33" s="23"/>
      <c r="AQ33" s="21"/>
      <c r="AR33" s="21"/>
      <c r="AS33" s="21"/>
      <c r="AT33" s="21"/>
      <c r="AU33" s="21"/>
    </row>
    <row r="34" spans="1:47" s="36" customFormat="1" x14ac:dyDescent="0.2">
      <c r="A34" s="9" t="s">
        <v>137</v>
      </c>
      <c r="B34" s="267"/>
      <c r="C34" s="267"/>
      <c r="D34" s="267"/>
      <c r="E34" s="266"/>
      <c r="F34" s="267"/>
      <c r="G34" s="267"/>
      <c r="H34" s="267"/>
      <c r="I34" s="266"/>
      <c r="J34" s="268"/>
      <c r="K34" s="268"/>
      <c r="L34" s="266"/>
      <c r="M34" s="266"/>
      <c r="N34" s="267"/>
      <c r="O34" s="267"/>
      <c r="P34" s="267"/>
      <c r="Q34" s="267"/>
      <c r="R34" s="267"/>
      <c r="S34" s="267"/>
      <c r="T34" s="267"/>
      <c r="U34" s="267"/>
      <c r="V34" s="267"/>
      <c r="W34" s="267"/>
      <c r="X34" s="267"/>
      <c r="Y34" s="267"/>
      <c r="Z34" s="14">
        <f>Z33/Y33-1</f>
        <v>0.31581345644516134</v>
      </c>
      <c r="AA34" s="14">
        <f>AA33/Z33-1</f>
        <v>-0.20082585027683431</v>
      </c>
      <c r="AB34" s="14">
        <f>AB33/AA33-1</f>
        <v>-1.3232556988702686</v>
      </c>
      <c r="AC34" s="267"/>
      <c r="AD34" s="267"/>
      <c r="AE34" s="267"/>
      <c r="AF34" s="267"/>
      <c r="AG34" s="267"/>
      <c r="AH34" s="267"/>
      <c r="AI34" s="267"/>
      <c r="AJ34" s="267"/>
      <c r="AK34" s="267"/>
      <c r="AL34" s="235"/>
      <c r="AM34" s="267"/>
      <c r="AN34" s="262"/>
      <c r="AO34" s="262"/>
      <c r="AP34" s="262"/>
      <c r="AQ34" s="262"/>
      <c r="AR34" s="262"/>
      <c r="AS34" s="262"/>
      <c r="AT34" s="262"/>
      <c r="AU34" s="262"/>
    </row>
    <row r="35" spans="1:47" s="36" customFormat="1" x14ac:dyDescent="0.2">
      <c r="A35" s="328" t="s">
        <v>268</v>
      </c>
      <c r="B35" s="21" t="s">
        <v>141</v>
      </c>
      <c r="C35" s="21" t="s">
        <v>141</v>
      </c>
      <c r="D35" s="21" t="s">
        <v>141</v>
      </c>
      <c r="E35" s="23"/>
      <c r="F35" s="21"/>
      <c r="G35" s="21"/>
      <c r="H35" s="21"/>
      <c r="I35" s="23"/>
      <c r="J35" s="23"/>
      <c r="K35" s="23"/>
      <c r="L35" s="23"/>
      <c r="M35" s="23"/>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30"/>
      <c r="AM35" s="21"/>
      <c r="AN35" s="21"/>
      <c r="AO35" s="21"/>
      <c r="AP35" s="23"/>
      <c r="AQ35" s="21"/>
      <c r="AR35" s="21"/>
      <c r="AS35" s="21"/>
      <c r="AT35" s="21"/>
      <c r="AU35" s="21"/>
    </row>
    <row r="36" spans="1:47" s="36" customFormat="1" x14ac:dyDescent="0.2">
      <c r="A36" s="329" t="s">
        <v>3</v>
      </c>
      <c r="B36" s="267"/>
      <c r="C36" s="267"/>
      <c r="D36" s="267"/>
      <c r="E36" s="12">
        <f>E29/E55</f>
        <v>-0.12798590261992582</v>
      </c>
      <c r="F36" s="12">
        <f>F29/F55</f>
        <v>-6.3472530761522747E-2</v>
      </c>
      <c r="G36" s="12">
        <f>G29/G55</f>
        <v>-5.904617676290775E-2</v>
      </c>
      <c r="H36" s="12">
        <f>H29/H55</f>
        <v>-8.2630920433793789E-2</v>
      </c>
      <c r="I36" s="12">
        <f>I29/I55</f>
        <v>-0.10002860423446477</v>
      </c>
      <c r="J36" s="12">
        <f t="shared" ref="J36:O36" si="1">J29/J55</f>
        <v>-9.0630881951341377E-2</v>
      </c>
      <c r="K36" s="12">
        <f t="shared" si="1"/>
        <v>-0.11883882594929754</v>
      </c>
      <c r="L36" s="12">
        <f t="shared" si="1"/>
        <v>-0.11613067536210432</v>
      </c>
      <c r="M36" s="12">
        <f t="shared" si="1"/>
        <v>-9.3801996823930964E-2</v>
      </c>
      <c r="N36" s="12">
        <f t="shared" si="1"/>
        <v>5.9418438842147991E-3</v>
      </c>
      <c r="O36" s="12">
        <f t="shared" si="1"/>
        <v>1.6937871885922436E-3</v>
      </c>
      <c r="P36" s="12">
        <f>P29/P55</f>
        <v>-4.252118363780924E-2</v>
      </c>
      <c r="Q36" s="12">
        <f>Q29/Q55</f>
        <v>4.6312999848634115E-3</v>
      </c>
      <c r="R36" s="267"/>
      <c r="S36" s="12" t="e">
        <f>S29/S55</f>
        <v>#DIV/0!</v>
      </c>
      <c r="T36" s="267"/>
      <c r="U36" s="267"/>
      <c r="V36" s="267"/>
      <c r="W36" s="12" t="e">
        <f>W29/W55</f>
        <v>#DIV/0!</v>
      </c>
      <c r="X36" s="267"/>
      <c r="Y36" s="12">
        <f>Y29/Y55</f>
        <v>-0.12798590261992582</v>
      </c>
      <c r="Z36" s="12">
        <f>Z29/Z55</f>
        <v>-0.10002860423446477</v>
      </c>
      <c r="AA36" s="12">
        <f>AA29/AA55</f>
        <v>-9.3801996823930964E-2</v>
      </c>
      <c r="AB36" s="12">
        <f>AB29/AB55</f>
        <v>4.6312999848634115E-3</v>
      </c>
      <c r="AC36" s="12"/>
      <c r="AD36" s="12"/>
      <c r="AE36" s="12"/>
      <c r="AF36" s="12"/>
      <c r="AG36" s="12"/>
      <c r="AH36" s="12"/>
      <c r="AI36" s="12"/>
      <c r="AJ36" s="12"/>
      <c r="AK36" s="12"/>
      <c r="AL36" s="235"/>
      <c r="AM36" s="12"/>
      <c r="AN36" s="12"/>
      <c r="AO36" s="12"/>
      <c r="AP36" s="12"/>
      <c r="AQ36" s="12"/>
      <c r="AR36" s="12"/>
      <c r="AS36" s="12"/>
      <c r="AT36" s="12"/>
      <c r="AU36" s="12"/>
    </row>
    <row r="37" spans="1:47" s="36" customFormat="1" x14ac:dyDescent="0.2">
      <c r="A37" s="329" t="s">
        <v>2</v>
      </c>
      <c r="B37" s="267"/>
      <c r="C37" s="267"/>
      <c r="D37" s="267"/>
      <c r="E37" s="12">
        <f>E31/E55</f>
        <v>-7.7903903451102458E-2</v>
      </c>
      <c r="F37" s="12">
        <f>F31/F55</f>
        <v>-9.9526885808495415E-3</v>
      </c>
      <c r="G37" s="12">
        <f>G31/G55</f>
        <v>-7.3253838966596393E-3</v>
      </c>
      <c r="H37" s="12">
        <f>H31/H55</f>
        <v>-2.7514699424199752E-2</v>
      </c>
      <c r="I37" s="12">
        <f>I31/I55</f>
        <v>-4.2791300391174451E-2</v>
      </c>
      <c r="J37" s="12">
        <f t="shared" ref="J37:O37" si="2">J31/J55</f>
        <v>-3.196352623786565E-2</v>
      </c>
      <c r="K37" s="12">
        <f t="shared" si="2"/>
        <v>-5.7211248194876996E-2</v>
      </c>
      <c r="L37" s="12">
        <f t="shared" si="2"/>
        <v>-6.2324607421016205E-2</v>
      </c>
      <c r="M37" s="12">
        <f t="shared" si="2"/>
        <v>-3.4280610149561193E-2</v>
      </c>
      <c r="N37" s="12">
        <f t="shared" si="2"/>
        <v>4.8899080034256991E-2</v>
      </c>
      <c r="O37" s="12">
        <f t="shared" si="2"/>
        <v>4.1917247536037809E-2</v>
      </c>
      <c r="P37" s="12">
        <f>P31/P55</f>
        <v>5.1039173847949357E-2</v>
      </c>
      <c r="Q37" s="12">
        <f>Q31/Q55</f>
        <v>4.7993409380218718E-2</v>
      </c>
      <c r="R37" s="267"/>
      <c r="S37" s="12" t="e">
        <f>S31/S55</f>
        <v>#DIV/0!</v>
      </c>
      <c r="T37" s="267"/>
      <c r="U37" s="267"/>
      <c r="V37" s="267"/>
      <c r="W37" s="12" t="e">
        <f>W31/W55</f>
        <v>#DIV/0!</v>
      </c>
      <c r="X37" s="267"/>
      <c r="Y37" s="12">
        <f>Y31/Y55</f>
        <v>-7.7903903451102458E-2</v>
      </c>
      <c r="Z37" s="12">
        <f>Z31/Z55</f>
        <v>-4.2791300391174451E-2</v>
      </c>
      <c r="AA37" s="12">
        <f>AA31/AA55</f>
        <v>-3.4280610149561193E-2</v>
      </c>
      <c r="AB37" s="12">
        <f>AB31/AB55</f>
        <v>4.7993409380218718E-2</v>
      </c>
      <c r="AC37" s="12"/>
      <c r="AD37" s="12"/>
      <c r="AE37" s="12"/>
      <c r="AF37" s="12"/>
      <c r="AG37" s="12"/>
      <c r="AH37" s="12"/>
      <c r="AI37" s="12"/>
      <c r="AJ37" s="12"/>
      <c r="AK37" s="12"/>
      <c r="AL37" s="235"/>
      <c r="AM37" s="12"/>
      <c r="AN37" s="12"/>
      <c r="AO37" s="12"/>
      <c r="AP37" s="12"/>
      <c r="AQ37" s="12"/>
      <c r="AR37" s="12"/>
      <c r="AS37" s="12"/>
      <c r="AT37" s="12"/>
      <c r="AU37" s="12"/>
    </row>
    <row r="38" spans="1:47" s="36" customFormat="1" x14ac:dyDescent="0.2">
      <c r="A38" s="329" t="s">
        <v>267</v>
      </c>
      <c r="B38" s="267"/>
      <c r="C38" s="267"/>
      <c r="D38" s="267"/>
      <c r="E38" s="12">
        <f>E33/E55</f>
        <v>-0.13699227805044453</v>
      </c>
      <c r="F38" s="12">
        <f>F33/F55</f>
        <v>-6.3756662173817646E-2</v>
      </c>
      <c r="G38" s="12">
        <f>G33/G55</f>
        <v>-6.1684466147080293E-2</v>
      </c>
      <c r="H38" s="12">
        <f>H33/H55</f>
        <v>-8.3987651799182148E-2</v>
      </c>
      <c r="I38" s="12">
        <f>I33/I55</f>
        <v>-0.12394976035303164</v>
      </c>
      <c r="J38" s="12">
        <f t="shared" ref="J38:O38" si="3">J33/J55</f>
        <v>-0.11187785257418989</v>
      </c>
      <c r="K38" s="12">
        <f t="shared" si="3"/>
        <v>-0.17654975545997184</v>
      </c>
      <c r="L38" s="12">
        <f t="shared" si="3"/>
        <v>-0.15553180466610653</v>
      </c>
      <c r="M38" s="12">
        <f t="shared" si="3"/>
        <v>-0.12529679905637051</v>
      </c>
      <c r="N38" s="12">
        <f t="shared" si="3"/>
        <v>-1.384517628957776E-2</v>
      </c>
      <c r="O38" s="12">
        <f t="shared" si="3"/>
        <v>-1.8990343420334212E-2</v>
      </c>
      <c r="P38" s="12">
        <f>P33/P55</f>
        <v>-0.12027551500242978</v>
      </c>
      <c r="Q38" s="12">
        <f>Q33/Q55</f>
        <v>5.5111576512976532E-2</v>
      </c>
      <c r="R38" s="267"/>
      <c r="S38" s="12" t="e">
        <f>S33/S55</f>
        <v>#DIV/0!</v>
      </c>
      <c r="T38" s="267"/>
      <c r="U38" s="267"/>
      <c r="V38" s="267"/>
      <c r="W38" s="12" t="e">
        <f>W33/W55</f>
        <v>#DIV/0!</v>
      </c>
      <c r="X38" s="267"/>
      <c r="Y38" s="12">
        <f>Y33/Y55</f>
        <v>-0.13699227805044453</v>
      </c>
      <c r="Z38" s="12">
        <f>Z33/Z55</f>
        <v>-0.12394976035303164</v>
      </c>
      <c r="AA38" s="12">
        <f>AA33/AA55</f>
        <v>-0.12529679905637051</v>
      </c>
      <c r="AB38" s="12">
        <f>AB33/AB55</f>
        <v>5.5111576512976532E-2</v>
      </c>
      <c r="AC38" s="12"/>
      <c r="AD38" s="12"/>
      <c r="AE38" s="12"/>
      <c r="AF38" s="12"/>
      <c r="AG38" s="12"/>
      <c r="AH38" s="12"/>
      <c r="AI38" s="12"/>
      <c r="AJ38" s="12"/>
      <c r="AK38" s="12"/>
      <c r="AL38" s="235"/>
      <c r="AM38" s="12"/>
      <c r="AN38" s="12"/>
      <c r="AO38" s="12"/>
      <c r="AP38" s="12"/>
      <c r="AQ38" s="12"/>
      <c r="AR38" s="12"/>
      <c r="AS38" s="12"/>
      <c r="AT38" s="12"/>
      <c r="AU38" s="12"/>
    </row>
    <row r="39" spans="1:47" x14ac:dyDescent="0.2">
      <c r="A39" s="298"/>
      <c r="B39" s="299"/>
      <c r="C39" s="299"/>
      <c r="D39" s="299"/>
      <c r="E39" s="299"/>
      <c r="F39" s="299"/>
      <c r="G39" s="299"/>
      <c r="H39" s="299"/>
      <c r="I39" s="299"/>
      <c r="J39" s="299"/>
      <c r="K39" s="299"/>
      <c r="L39" s="299"/>
      <c r="M39" s="299"/>
      <c r="N39" s="299"/>
      <c r="O39" s="299"/>
      <c r="P39" s="299"/>
      <c r="Q39" s="299"/>
      <c r="S39" s="299"/>
      <c r="T39" s="299"/>
      <c r="U39" s="299"/>
      <c r="V39" s="299"/>
      <c r="W39" s="299"/>
      <c r="X39" s="299"/>
      <c r="Y39" s="299"/>
      <c r="Z39" s="299"/>
      <c r="AA39" s="299"/>
      <c r="AB39" s="299"/>
    </row>
    <row r="40" spans="1:47" s="300" customFormat="1" x14ac:dyDescent="0.2">
      <c r="A40" s="286" t="s">
        <v>132</v>
      </c>
      <c r="B40" s="4" t="s">
        <v>278</v>
      </c>
      <c r="C40" s="4" t="s">
        <v>211</v>
      </c>
      <c r="D40" s="4" t="s">
        <v>213</v>
      </c>
      <c r="E40" s="4" t="s">
        <v>215</v>
      </c>
      <c r="F40" s="4" t="s">
        <v>272</v>
      </c>
      <c r="G40" s="4" t="s">
        <v>227</v>
      </c>
      <c r="H40" s="4" t="s">
        <v>237</v>
      </c>
      <c r="I40" s="4" t="s">
        <v>239</v>
      </c>
      <c r="J40" s="4" t="s">
        <v>273</v>
      </c>
      <c r="K40" s="4" t="s">
        <v>274</v>
      </c>
      <c r="L40" s="4" t="s">
        <v>248</v>
      </c>
      <c r="M40" s="4" t="s">
        <v>255</v>
      </c>
      <c r="N40" s="4" t="s">
        <v>275</v>
      </c>
      <c r="O40" s="4" t="s">
        <v>276</v>
      </c>
      <c r="P40" s="4" t="s">
        <v>277</v>
      </c>
      <c r="Q40" s="4" t="s">
        <v>295</v>
      </c>
      <c r="S40" s="4">
        <v>2008</v>
      </c>
      <c r="T40" s="4">
        <v>2009</v>
      </c>
      <c r="U40" s="4">
        <v>2010</v>
      </c>
      <c r="V40" s="4">
        <v>2008</v>
      </c>
      <c r="W40" s="4">
        <v>2009</v>
      </c>
      <c r="X40" s="4">
        <v>2010</v>
      </c>
      <c r="Y40" s="4">
        <v>2011</v>
      </c>
      <c r="Z40" s="4">
        <v>2012</v>
      </c>
      <c r="AA40" s="4">
        <v>2013</v>
      </c>
      <c r="AB40" s="4">
        <v>2014</v>
      </c>
    </row>
    <row r="41" spans="1:47" ht="22.5" x14ac:dyDescent="0.2">
      <c r="A41" s="301" t="s">
        <v>52</v>
      </c>
      <c r="B41" s="295" t="s">
        <v>139</v>
      </c>
      <c r="C41" s="295" t="s">
        <v>139</v>
      </c>
      <c r="D41" s="295" t="s">
        <v>139</v>
      </c>
      <c r="E41" s="295">
        <v>103.642</v>
      </c>
      <c r="F41" s="295" t="s">
        <v>139</v>
      </c>
      <c r="G41" s="295" t="s">
        <v>139</v>
      </c>
      <c r="H41" s="295" t="s">
        <v>139</v>
      </c>
      <c r="I41" s="295">
        <v>173.17400000000001</v>
      </c>
      <c r="J41" s="295" t="s">
        <v>139</v>
      </c>
      <c r="K41" s="295" t="s">
        <v>139</v>
      </c>
      <c r="L41" s="295" t="s">
        <v>139</v>
      </c>
      <c r="M41" s="295">
        <v>48.482999999999997</v>
      </c>
      <c r="N41" s="295" t="s">
        <v>139</v>
      </c>
      <c r="O41" s="295" t="s">
        <v>139</v>
      </c>
      <c r="P41" s="295" t="s">
        <v>139</v>
      </c>
      <c r="Q41" s="295">
        <v>17.893999999999998</v>
      </c>
      <c r="S41" s="295"/>
      <c r="T41" s="295"/>
      <c r="U41" s="295"/>
      <c r="V41" s="295"/>
      <c r="W41" s="295"/>
      <c r="X41" s="295"/>
      <c r="Y41" s="295">
        <f>E41</f>
        <v>103.642</v>
      </c>
      <c r="Z41" s="295">
        <f>I41</f>
        <v>173.17400000000001</v>
      </c>
      <c r="AA41" s="295">
        <f>M41</f>
        <v>48.482999999999997</v>
      </c>
      <c r="AB41" s="295">
        <f>Q41</f>
        <v>17.893999999999998</v>
      </c>
    </row>
    <row r="42" spans="1:47" s="302" customFormat="1" x14ac:dyDescent="0.2">
      <c r="A42" s="289"/>
      <c r="B42" s="31"/>
      <c r="C42" s="31"/>
      <c r="D42" s="31"/>
      <c r="E42" s="31"/>
      <c r="F42" s="31"/>
      <c r="G42" s="31"/>
      <c r="H42" s="31"/>
      <c r="I42" s="31"/>
      <c r="J42" s="31"/>
      <c r="K42" s="31"/>
      <c r="L42" s="31"/>
      <c r="M42" s="31"/>
      <c r="N42" s="31"/>
      <c r="O42" s="31"/>
      <c r="P42" s="31"/>
      <c r="Q42" s="31"/>
      <c r="S42" s="31"/>
      <c r="T42" s="31"/>
      <c r="U42" s="31"/>
      <c r="V42" s="31"/>
      <c r="W42" s="31"/>
      <c r="X42" s="31"/>
      <c r="Y42" s="31"/>
      <c r="Z42" s="14">
        <f>Z41/Y41-1</f>
        <v>0.67088632021767247</v>
      </c>
      <c r="AA42" s="14">
        <f>AA41/Z41-1</f>
        <v>-0.72003303036252553</v>
      </c>
      <c r="AB42" s="14">
        <f>AB41/AA41-1</f>
        <v>-0.6309221789080709</v>
      </c>
    </row>
    <row r="43" spans="1:47" s="300" customFormat="1" x14ac:dyDescent="0.2">
      <c r="A43" s="298"/>
      <c r="B43" s="299"/>
      <c r="C43" s="299"/>
      <c r="D43" s="299"/>
      <c r="E43" s="299"/>
      <c r="F43" s="299"/>
      <c r="G43" s="299"/>
      <c r="H43" s="299"/>
      <c r="I43" s="299"/>
      <c r="J43" s="299"/>
      <c r="K43" s="299"/>
      <c r="L43" s="299"/>
      <c r="M43" s="299"/>
      <c r="N43" s="299"/>
      <c r="O43" s="299"/>
      <c r="P43" s="299"/>
      <c r="Q43" s="299"/>
      <c r="S43" s="299"/>
      <c r="T43" s="299"/>
      <c r="U43" s="299"/>
      <c r="V43" s="299"/>
      <c r="W43" s="299"/>
      <c r="X43" s="299"/>
      <c r="Y43" s="299"/>
      <c r="Z43" s="299"/>
      <c r="AA43" s="299"/>
      <c r="AB43" s="299"/>
    </row>
    <row r="44" spans="1:47" x14ac:dyDescent="0.2">
      <c r="A44" s="2" t="s">
        <v>260</v>
      </c>
      <c r="B44" s="4" t="s">
        <v>278</v>
      </c>
      <c r="C44" s="4" t="s">
        <v>211</v>
      </c>
      <c r="D44" s="4" t="s">
        <v>213</v>
      </c>
      <c r="E44" s="4" t="s">
        <v>215</v>
      </c>
      <c r="F44" s="4" t="s">
        <v>272</v>
      </c>
      <c r="G44" s="4" t="s">
        <v>227</v>
      </c>
      <c r="H44" s="4" t="s">
        <v>237</v>
      </c>
      <c r="I44" s="4" t="s">
        <v>239</v>
      </c>
      <c r="J44" s="4" t="s">
        <v>273</v>
      </c>
      <c r="K44" s="4" t="s">
        <v>274</v>
      </c>
      <c r="L44" s="4" t="s">
        <v>248</v>
      </c>
      <c r="M44" s="4" t="s">
        <v>255</v>
      </c>
      <c r="N44" s="4" t="s">
        <v>275</v>
      </c>
      <c r="O44" s="4" t="s">
        <v>276</v>
      </c>
      <c r="P44" s="4" t="s">
        <v>277</v>
      </c>
      <c r="Q44" s="4" t="s">
        <v>295</v>
      </c>
      <c r="S44" s="4">
        <v>2008</v>
      </c>
      <c r="T44" s="4">
        <v>2009</v>
      </c>
      <c r="U44" s="4">
        <v>2010</v>
      </c>
      <c r="V44" s="4">
        <v>2008</v>
      </c>
      <c r="W44" s="4">
        <v>2009</v>
      </c>
      <c r="X44" s="4">
        <v>2010</v>
      </c>
      <c r="Y44" s="4">
        <v>2011</v>
      </c>
      <c r="Z44" s="4">
        <v>2012</v>
      </c>
      <c r="AA44" s="4">
        <v>2013</v>
      </c>
      <c r="AB44" s="4">
        <v>2014</v>
      </c>
    </row>
    <row r="45" spans="1:47" x14ac:dyDescent="0.2">
      <c r="A45" s="287" t="s">
        <v>14</v>
      </c>
      <c r="B45" s="242">
        <f>B29/(B25)</f>
        <v>1.5143140004950087E-2</v>
      </c>
      <c r="C45" s="242">
        <f>C29/(C25)</f>
        <v>2.446066308784205E-2</v>
      </c>
      <c r="D45" s="242">
        <f>D29/(D25+0.196)</f>
        <v>-0.11842141828348725</v>
      </c>
      <c r="E45" s="242">
        <f>E29/(E25+E54)</f>
        <v>-0.12798590261992582</v>
      </c>
      <c r="F45" s="242">
        <f>F29/(F25+F54)</f>
        <v>-6.3472530761522747E-2</v>
      </c>
      <c r="G45" s="242">
        <f>G29/(G25+G54)</f>
        <v>-5.904617676290775E-2</v>
      </c>
      <c r="H45" s="242">
        <f>H29/(H25+H54)</f>
        <v>-8.2630920433793789E-2</v>
      </c>
      <c r="I45" s="242">
        <f t="shared" ref="I45:P45" si="4">I29/(I25+I54)</f>
        <v>-0.10002860423446477</v>
      </c>
      <c r="J45" s="242">
        <f t="shared" si="4"/>
        <v>-9.0630881951341377E-2</v>
      </c>
      <c r="K45" s="242">
        <f t="shared" si="4"/>
        <v>-0.11883882594929754</v>
      </c>
      <c r="L45" s="242">
        <f t="shared" si="4"/>
        <v>-0.11613067536210432</v>
      </c>
      <c r="M45" s="242">
        <f t="shared" si="4"/>
        <v>-9.3801996823930964E-2</v>
      </c>
      <c r="N45" s="242">
        <f t="shared" si="4"/>
        <v>5.9418438842147991E-3</v>
      </c>
      <c r="O45" s="242">
        <f t="shared" si="4"/>
        <v>1.6937871885922436E-3</v>
      </c>
      <c r="P45" s="242">
        <f t="shared" si="4"/>
        <v>-4.252118363780924E-2</v>
      </c>
      <c r="Q45" s="242">
        <f t="shared" ref="Q45" si="5">Q29/(Q25+Q54)</f>
        <v>4.6312999848634115E-3</v>
      </c>
      <c r="S45" s="242"/>
      <c r="T45" s="242"/>
      <c r="U45" s="242"/>
      <c r="V45" s="242"/>
      <c r="W45" s="242"/>
      <c r="X45" s="242"/>
      <c r="Y45" s="242">
        <f>E45</f>
        <v>-0.12798590261992582</v>
      </c>
      <c r="Z45" s="242">
        <f>I45</f>
        <v>-0.10002860423446477</v>
      </c>
      <c r="AA45" s="242">
        <f>M45</f>
        <v>-9.3801996823930964E-2</v>
      </c>
      <c r="AB45" s="242">
        <f>Q45</f>
        <v>4.6312999848634115E-3</v>
      </c>
    </row>
    <row r="46" spans="1:47" x14ac:dyDescent="0.2">
      <c r="A46" s="287" t="s">
        <v>133</v>
      </c>
      <c r="B46" s="303" t="s">
        <v>139</v>
      </c>
      <c r="C46" s="303" t="s">
        <v>139</v>
      </c>
      <c r="D46" s="303" t="s">
        <v>139</v>
      </c>
      <c r="E46" s="303">
        <f>E29/E41</f>
        <v>-2.9448486134964589</v>
      </c>
      <c r="F46" s="303" t="s">
        <v>139</v>
      </c>
      <c r="G46" s="303" t="s">
        <v>139</v>
      </c>
      <c r="H46" s="303" t="s">
        <v>139</v>
      </c>
      <c r="I46" s="303">
        <f>I29/I41</f>
        <v>-2.0031933200133971</v>
      </c>
      <c r="J46" s="303" t="s">
        <v>139</v>
      </c>
      <c r="K46" s="303" t="s">
        <v>139</v>
      </c>
      <c r="L46" s="303" t="s">
        <v>139</v>
      </c>
      <c r="M46" s="303">
        <f>M29/M41</f>
        <v>-5.3045809871501355</v>
      </c>
      <c r="N46" s="303" t="s">
        <v>139</v>
      </c>
      <c r="O46" s="303" t="s">
        <v>139</v>
      </c>
      <c r="P46" s="303" t="s">
        <v>139</v>
      </c>
      <c r="Q46" s="303">
        <f>Q29/Q41</f>
        <v>0.52151559181848672</v>
      </c>
      <c r="S46" s="303"/>
      <c r="T46" s="303"/>
      <c r="U46" s="303"/>
      <c r="V46" s="303"/>
      <c r="W46" s="303"/>
      <c r="X46" s="303"/>
      <c r="Y46" s="303">
        <f>E46</f>
        <v>-2.9448486134964589</v>
      </c>
      <c r="Z46" s="303">
        <f>I46</f>
        <v>-2.0031933200133971</v>
      </c>
      <c r="AA46" s="303">
        <f>M46</f>
        <v>-5.3045809871501355</v>
      </c>
      <c r="AB46" s="303">
        <f>Q46</f>
        <v>0.52151559181848672</v>
      </c>
    </row>
    <row r="47" spans="1:47" x14ac:dyDescent="0.2">
      <c r="A47" s="287" t="s">
        <v>134</v>
      </c>
      <c r="B47" s="303" t="s">
        <v>139</v>
      </c>
      <c r="C47" s="303" t="s">
        <v>139</v>
      </c>
      <c r="D47" s="303" t="s">
        <v>139</v>
      </c>
      <c r="E47" s="303">
        <f>E41/E27</f>
        <v>0.86779087681693345</v>
      </c>
      <c r="F47" s="303" t="s">
        <v>139</v>
      </c>
      <c r="G47" s="303" t="s">
        <v>139</v>
      </c>
      <c r="H47" s="303" t="s">
        <v>139</v>
      </c>
      <c r="I47" s="303">
        <f>I41/I27</f>
        <v>0.87241309823677582</v>
      </c>
      <c r="J47" s="303" t="s">
        <v>139</v>
      </c>
      <c r="K47" s="303" t="s">
        <v>139</v>
      </c>
      <c r="L47" s="303" t="s">
        <v>139</v>
      </c>
      <c r="M47" s="303">
        <f>M41/M27</f>
        <v>0.29708994871103533</v>
      </c>
      <c r="N47" s="303" t="s">
        <v>139</v>
      </c>
      <c r="O47" s="303" t="s">
        <v>139</v>
      </c>
      <c r="P47" s="303" t="s">
        <v>139</v>
      </c>
      <c r="Q47" s="303">
        <f>Q41/Q27</f>
        <v>0.20479776592579027</v>
      </c>
      <c r="S47" s="303"/>
      <c r="T47" s="303"/>
      <c r="U47" s="303"/>
      <c r="V47" s="303"/>
      <c r="W47" s="303"/>
      <c r="X47" s="303"/>
      <c r="Y47" s="303">
        <f>E47</f>
        <v>0.86779087681693345</v>
      </c>
      <c r="Z47" s="303">
        <f>I47</f>
        <v>0.87241309823677582</v>
      </c>
      <c r="AA47" s="303">
        <f>M47</f>
        <v>0.29708994871103533</v>
      </c>
      <c r="AB47" s="303">
        <f>Q47</f>
        <v>0.20479776592579027</v>
      </c>
    </row>
    <row r="48" spans="1:47" x14ac:dyDescent="0.2">
      <c r="A48" s="292"/>
      <c r="B48" s="295"/>
      <c r="C48" s="295"/>
      <c r="D48" s="295"/>
      <c r="E48" s="295"/>
      <c r="F48" s="295"/>
      <c r="G48" s="295"/>
      <c r="H48" s="295"/>
      <c r="I48" s="295"/>
      <c r="J48" s="295"/>
      <c r="K48" s="295"/>
      <c r="L48" s="295"/>
      <c r="M48" s="295"/>
      <c r="N48" s="295"/>
      <c r="O48" s="295"/>
      <c r="P48" s="295"/>
      <c r="Q48" s="295"/>
      <c r="S48" s="295"/>
      <c r="T48" s="295"/>
      <c r="U48" s="295"/>
      <c r="V48" s="295"/>
      <c r="W48" s="295"/>
      <c r="X48" s="295"/>
      <c r="Y48" s="295"/>
      <c r="Z48" s="295"/>
      <c r="AA48" s="295"/>
      <c r="AB48" s="295"/>
    </row>
    <row r="49" spans="1:28" x14ac:dyDescent="0.2">
      <c r="A49" s="292" t="s">
        <v>220</v>
      </c>
      <c r="B49" s="304">
        <f t="shared" ref="B49:M49" si="6">B29/B4*1000</f>
        <v>13.034161508356714</v>
      </c>
      <c r="C49" s="304">
        <f t="shared" si="6"/>
        <v>22.77533688085445</v>
      </c>
      <c r="D49" s="304">
        <f t="shared" si="6"/>
        <v>-118.44130015949865</v>
      </c>
      <c r="E49" s="297">
        <f t="shared" si="6"/>
        <v>-125.31745191642038</v>
      </c>
      <c r="F49" s="297">
        <f t="shared" si="6"/>
        <v>-55.585178675379019</v>
      </c>
      <c r="G49" s="297">
        <f t="shared" si="6"/>
        <v>-52.727818871089831</v>
      </c>
      <c r="H49" s="297">
        <f t="shared" si="6"/>
        <v>-72.359434433363703</v>
      </c>
      <c r="I49" s="297">
        <f t="shared" si="6"/>
        <v>-87.091798658750776</v>
      </c>
      <c r="J49" s="297">
        <f t="shared" si="6"/>
        <v>-77.145914242860627</v>
      </c>
      <c r="K49" s="297">
        <f t="shared" si="6"/>
        <v>-96.759060367665626</v>
      </c>
      <c r="L49" s="297">
        <f t="shared" si="6"/>
        <v>-93.77356825718897</v>
      </c>
      <c r="M49" s="297">
        <f t="shared" si="6"/>
        <v>-75.955337166168235</v>
      </c>
      <c r="N49" s="297">
        <f>N29/N4*1000</f>
        <v>5.0186042483640882</v>
      </c>
      <c r="O49" s="297">
        <f>O29/O4*1000</f>
        <v>1.4153824575571723</v>
      </c>
      <c r="P49" s="297">
        <f>P29/P4*1000</f>
        <v>-35.578546525962032</v>
      </c>
      <c r="Q49" s="297">
        <f>Q29/Q4*1000</f>
        <v>3.8618277428743317</v>
      </c>
      <c r="S49" s="304"/>
      <c r="T49" s="304"/>
      <c r="U49" s="304"/>
      <c r="V49" s="304"/>
      <c r="W49" s="304"/>
      <c r="X49" s="304"/>
      <c r="Y49" s="297">
        <f>E49</f>
        <v>-125.31745191642038</v>
      </c>
      <c r="Z49" s="297">
        <f>I49</f>
        <v>-87.091798658750776</v>
      </c>
      <c r="AA49" s="297">
        <f>M49</f>
        <v>-75.955337166168235</v>
      </c>
      <c r="AB49" s="297">
        <f>Q49</f>
        <v>3.8618277428743317</v>
      </c>
    </row>
    <row r="50" spans="1:28" x14ac:dyDescent="0.2">
      <c r="A50" s="298"/>
      <c r="B50" s="299"/>
      <c r="C50" s="299"/>
      <c r="D50" s="299"/>
      <c r="E50" s="299"/>
      <c r="F50" s="299"/>
      <c r="G50" s="299"/>
      <c r="H50" s="299"/>
      <c r="I50" s="299"/>
      <c r="J50" s="299"/>
      <c r="K50" s="299"/>
      <c r="L50" s="299"/>
      <c r="M50" s="299"/>
      <c r="N50" s="299"/>
      <c r="O50" s="299"/>
      <c r="P50" s="299"/>
      <c r="Q50" s="299"/>
      <c r="S50" s="299"/>
      <c r="T50" s="299"/>
      <c r="U50" s="299"/>
      <c r="V50" s="299"/>
      <c r="W50" s="299"/>
      <c r="X50" s="299"/>
      <c r="Y50" s="299"/>
      <c r="Z50" s="299"/>
      <c r="AA50" s="299"/>
      <c r="AB50" s="299"/>
    </row>
    <row r="51" spans="1:28" x14ac:dyDescent="0.2">
      <c r="A51" s="7" t="s">
        <v>235</v>
      </c>
    </row>
    <row r="52" spans="1:28" x14ac:dyDescent="0.2">
      <c r="A52" s="305"/>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row>
    <row r="53" spans="1:28" x14ac:dyDescent="0.2">
      <c r="A53" s="305"/>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row>
    <row r="54" spans="1:28" hidden="1" outlineLevel="1" x14ac:dyDescent="0.2">
      <c r="A54" s="336" t="s">
        <v>269</v>
      </c>
      <c r="E54" s="304">
        <v>3.1817675354989023</v>
      </c>
      <c r="F54" s="304">
        <v>0</v>
      </c>
      <c r="G54" s="304">
        <v>0</v>
      </c>
      <c r="H54" s="304">
        <v>1.3360000000000001</v>
      </c>
      <c r="I54" s="304">
        <v>1.3360000000000001</v>
      </c>
      <c r="J54" s="304">
        <v>0.55900000000000005</v>
      </c>
      <c r="K54" s="304">
        <v>1.1719999999999999</v>
      </c>
      <c r="L54" s="304">
        <v>1.698</v>
      </c>
      <c r="M54" s="304">
        <v>1.698</v>
      </c>
      <c r="N54" s="304">
        <v>0</v>
      </c>
      <c r="O54" s="304">
        <v>0</v>
      </c>
      <c r="P54" s="304">
        <v>0</v>
      </c>
      <c r="Q54" s="304">
        <v>0</v>
      </c>
      <c r="R54" s="304"/>
      <c r="S54" s="304"/>
      <c r="T54" s="304"/>
      <c r="U54" s="304"/>
      <c r="V54" s="304"/>
      <c r="W54" s="304"/>
      <c r="X54" s="304"/>
      <c r="Y54" s="304">
        <f>E54</f>
        <v>3.1817675354989023</v>
      </c>
      <c r="Z54" s="304">
        <f>I54</f>
        <v>1.3360000000000001</v>
      </c>
      <c r="AA54" s="304">
        <f>M54</f>
        <v>1.698</v>
      </c>
      <c r="AB54" s="304">
        <f>Q54</f>
        <v>0</v>
      </c>
    </row>
    <row r="55" spans="1:28" hidden="1" outlineLevel="1" x14ac:dyDescent="0.2">
      <c r="A55" s="336" t="s">
        <v>270</v>
      </c>
      <c r="B55" s="304"/>
      <c r="C55" s="304"/>
      <c r="D55" s="304"/>
      <c r="E55" s="304">
        <f>E54+E25</f>
        <v>2384.7157675354988</v>
      </c>
      <c r="F55" s="304">
        <f t="shared" ref="F55:AA55" si="7">F54+F25</f>
        <v>988.97900000000004</v>
      </c>
      <c r="G55" s="304">
        <f t="shared" si="7"/>
        <v>2015.3209999999999</v>
      </c>
      <c r="H55" s="304">
        <f t="shared" si="7"/>
        <v>2775.7889999999998</v>
      </c>
      <c r="I55" s="304">
        <f t="shared" si="7"/>
        <v>3468.0179999999996</v>
      </c>
      <c r="J55" s="304">
        <f t="shared" si="7"/>
        <v>816.58699999999999</v>
      </c>
      <c r="K55" s="304">
        <f t="shared" si="7"/>
        <v>1546.9860000000001</v>
      </c>
      <c r="L55" s="304">
        <f t="shared" si="7"/>
        <v>2296.9899999999998</v>
      </c>
      <c r="M55" s="304">
        <f t="shared" si="7"/>
        <v>2741.7539999999999</v>
      </c>
      <c r="N55" s="304">
        <f t="shared" si="7"/>
        <v>470.56099999999998</v>
      </c>
      <c r="O55" s="304">
        <f t="shared" si="7"/>
        <v>1003.668</v>
      </c>
      <c r="P55" s="304">
        <f>P54+P25</f>
        <v>1526.886</v>
      </c>
      <c r="Q55" s="304">
        <f>Q54+Q25</f>
        <v>2014.9849999999999</v>
      </c>
      <c r="R55" s="304"/>
      <c r="S55" s="304">
        <f t="shared" si="7"/>
        <v>0</v>
      </c>
      <c r="T55" s="304">
        <f t="shared" si="7"/>
        <v>0</v>
      </c>
      <c r="U55" s="304">
        <f t="shared" si="7"/>
        <v>0</v>
      </c>
      <c r="V55" s="304">
        <f t="shared" si="7"/>
        <v>0</v>
      </c>
      <c r="W55" s="304">
        <f t="shared" si="7"/>
        <v>0</v>
      </c>
      <c r="X55" s="304">
        <f t="shared" si="7"/>
        <v>0</v>
      </c>
      <c r="Y55" s="304">
        <f t="shared" si="7"/>
        <v>2384.7157675354988</v>
      </c>
      <c r="Z55" s="304">
        <f t="shared" si="7"/>
        <v>3468.0179999999996</v>
      </c>
      <c r="AA55" s="304">
        <f t="shared" si="7"/>
        <v>2741.7539999999999</v>
      </c>
      <c r="AB55" s="304">
        <f t="shared" ref="AB55" si="8">AB54+AB25</f>
        <v>2014.9849999999999</v>
      </c>
    </row>
    <row r="56" spans="1:28" collapsed="1" x14ac:dyDescent="0.2"/>
    <row r="57" spans="1:28" x14ac:dyDescent="0.2">
      <c r="A57" s="306"/>
    </row>
    <row r="58" spans="1:28" x14ac:dyDescent="0.2">
      <c r="A58" s="306"/>
    </row>
  </sheetData>
  <pageMargins left="0.25" right="0.25" top="0.75" bottom="0.75" header="0.3" footer="0.3"/>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6"/>
  <sheetViews>
    <sheetView showGridLines="0" view="pageBreakPreview" zoomScale="85" zoomScaleNormal="100" zoomScaleSheetLayoutView="85" workbookViewId="0">
      <selection activeCell="AX11" sqref="AX11"/>
    </sheetView>
  </sheetViews>
  <sheetFormatPr defaultRowHeight="12.75" outlineLevelCol="1" x14ac:dyDescent="0.2"/>
  <cols>
    <col min="1" max="1" width="27.5703125" style="1" customWidth="1"/>
    <col min="2" max="8" width="9" style="1" hidden="1" customWidth="1" outlineLevel="1"/>
    <col min="9" max="9" width="9" style="1" customWidth="1" collapsed="1"/>
    <col min="10" max="12" width="9" style="1" hidden="1" customWidth="1" outlineLevel="1"/>
    <col min="13" max="13" width="6.85546875" style="1" customWidth="1" collapsed="1"/>
    <col min="14" max="16" width="9" style="1" hidden="1" customWidth="1" outlineLevel="1"/>
    <col min="17" max="17" width="6.85546875" style="1" customWidth="1" collapsed="1"/>
    <col min="18" max="20" width="6.85546875" style="1" hidden="1" customWidth="1" outlineLevel="1"/>
    <col min="21" max="21" width="6.85546875" style="1" customWidth="1" collapsed="1"/>
    <col min="22" max="24" width="6.85546875" style="1" hidden="1" customWidth="1" outlineLevel="1"/>
    <col min="25" max="25" width="6.85546875" style="1" customWidth="1" collapsed="1"/>
    <col min="26" max="37" width="6.85546875" style="1" customWidth="1"/>
    <col min="38" max="38" width="9" style="50" customWidth="1"/>
    <col min="39" max="48" width="6.85546875" style="1" customWidth="1"/>
    <col min="49" max="16384" width="9.140625" style="1"/>
  </cols>
  <sheetData>
    <row r="1" spans="1:48" x14ac:dyDescent="0.2">
      <c r="A1" s="1" t="s">
        <v>24</v>
      </c>
      <c r="L1" s="48"/>
      <c r="M1" s="48"/>
    </row>
    <row r="2" spans="1:48" x14ac:dyDescent="0.2">
      <c r="A2" s="18"/>
      <c r="B2" s="27"/>
      <c r="C2" s="27"/>
      <c r="D2" s="27"/>
      <c r="E2" s="27"/>
      <c r="F2" s="27"/>
      <c r="G2" s="27"/>
      <c r="H2" s="28"/>
      <c r="I2" s="28"/>
      <c r="J2" s="45"/>
      <c r="K2" s="27"/>
      <c r="L2" s="19"/>
      <c r="M2" s="19"/>
      <c r="N2" s="45"/>
      <c r="O2" s="45"/>
      <c r="P2" s="45"/>
      <c r="Q2" s="45"/>
      <c r="R2" s="45"/>
      <c r="S2" s="45"/>
      <c r="T2" s="45"/>
      <c r="U2" s="45"/>
      <c r="V2" s="45"/>
      <c r="W2" s="45"/>
      <c r="X2" s="45"/>
      <c r="Y2" s="45"/>
      <c r="Z2" s="45"/>
      <c r="AA2" s="45"/>
      <c r="AB2" s="45"/>
      <c r="AC2" s="45"/>
      <c r="AD2" s="45"/>
      <c r="AE2" s="45"/>
      <c r="AF2" s="45"/>
      <c r="AG2" s="45"/>
      <c r="AH2" s="45"/>
      <c r="AI2" s="45"/>
      <c r="AJ2" s="45"/>
      <c r="AK2" s="45"/>
      <c r="AL2" s="45"/>
      <c r="AM2" s="19"/>
      <c r="AN2" s="19"/>
      <c r="AO2" s="19"/>
      <c r="AP2" s="19"/>
    </row>
    <row r="3" spans="1:48" x14ac:dyDescent="0.2">
      <c r="A3" s="2" t="s">
        <v>1</v>
      </c>
      <c r="B3" s="3" t="s">
        <v>282</v>
      </c>
      <c r="C3" s="4" t="s">
        <v>283</v>
      </c>
      <c r="D3" s="4" t="s">
        <v>284</v>
      </c>
      <c r="E3" s="4" t="s">
        <v>22</v>
      </c>
      <c r="F3" s="3" t="s">
        <v>285</v>
      </c>
      <c r="G3" s="3" t="s">
        <v>286</v>
      </c>
      <c r="H3" s="4" t="s">
        <v>287</v>
      </c>
      <c r="I3" s="4" t="s">
        <v>288</v>
      </c>
      <c r="J3" s="5" t="s">
        <v>289</v>
      </c>
      <c r="K3" s="3" t="s">
        <v>290</v>
      </c>
      <c r="L3" s="3" t="s">
        <v>291</v>
      </c>
      <c r="M3" s="3" t="s">
        <v>292</v>
      </c>
      <c r="N3" s="4" t="s">
        <v>279</v>
      </c>
      <c r="O3" s="4" t="s">
        <v>280</v>
      </c>
      <c r="P3" s="4" t="s">
        <v>281</v>
      </c>
      <c r="Q3" s="4" t="s">
        <v>183</v>
      </c>
      <c r="R3" s="4" t="s">
        <v>187</v>
      </c>
      <c r="S3" s="4" t="s">
        <v>200</v>
      </c>
      <c r="T3" s="4" t="s">
        <v>203</v>
      </c>
      <c r="U3" s="4" t="s">
        <v>206</v>
      </c>
      <c r="V3" s="4" t="s">
        <v>278</v>
      </c>
      <c r="W3" s="4" t="s">
        <v>211</v>
      </c>
      <c r="X3" s="4" t="s">
        <v>213</v>
      </c>
      <c r="Y3" s="4" t="s">
        <v>215</v>
      </c>
      <c r="Z3" s="4" t="s">
        <v>272</v>
      </c>
      <c r="AA3" s="4" t="s">
        <v>227</v>
      </c>
      <c r="AB3" s="4" t="s">
        <v>237</v>
      </c>
      <c r="AC3" s="4" t="s">
        <v>239</v>
      </c>
      <c r="AD3" s="4" t="s">
        <v>273</v>
      </c>
      <c r="AE3" s="4" t="s">
        <v>274</v>
      </c>
      <c r="AF3" s="4" t="s">
        <v>248</v>
      </c>
      <c r="AG3" s="4" t="s">
        <v>255</v>
      </c>
      <c r="AH3" s="4" t="s">
        <v>275</v>
      </c>
      <c r="AI3" s="4" t="s">
        <v>276</v>
      </c>
      <c r="AJ3" s="4" t="s">
        <v>277</v>
      </c>
      <c r="AK3" s="4" t="s">
        <v>295</v>
      </c>
      <c r="AL3" s="6"/>
      <c r="AM3" s="4">
        <v>2005</v>
      </c>
      <c r="AN3" s="4">
        <v>2006</v>
      </c>
      <c r="AO3" s="4">
        <v>2007</v>
      </c>
      <c r="AP3" s="4">
        <v>2008</v>
      </c>
      <c r="AQ3" s="4">
        <v>2009</v>
      </c>
      <c r="AR3" s="4">
        <v>2010</v>
      </c>
      <c r="AS3" s="4">
        <v>2011</v>
      </c>
      <c r="AT3" s="4">
        <v>2012</v>
      </c>
      <c r="AU3" s="4">
        <v>2013</v>
      </c>
      <c r="AV3" s="4">
        <v>2014</v>
      </c>
    </row>
    <row r="4" spans="1:48" x14ac:dyDescent="0.2">
      <c r="A4" s="7" t="s">
        <v>26</v>
      </c>
      <c r="B4" s="8">
        <v>21.777000000000001</v>
      </c>
      <c r="C4" s="21">
        <v>51.497</v>
      </c>
      <c r="D4" s="21">
        <v>92.992999999999995</v>
      </c>
      <c r="E4" s="21">
        <v>115.203</v>
      </c>
      <c r="F4" s="21">
        <v>22.855</v>
      </c>
      <c r="G4" s="21">
        <v>44.457000000000001</v>
      </c>
      <c r="H4" s="22">
        <v>66.298000000000002</v>
      </c>
      <c r="I4" s="22">
        <v>87.998999999999995</v>
      </c>
      <c r="J4" s="23">
        <v>20.14</v>
      </c>
      <c r="K4" s="21">
        <v>41.41</v>
      </c>
      <c r="L4" s="21">
        <v>62.722000000000001</v>
      </c>
      <c r="M4" s="21">
        <v>82.834000000000003</v>
      </c>
      <c r="N4" s="23">
        <v>4.125</v>
      </c>
      <c r="O4" s="23">
        <v>4.4269999999999996</v>
      </c>
      <c r="P4" s="23">
        <v>4.8819999999999997</v>
      </c>
      <c r="Q4" s="23">
        <v>5.2720000000000002</v>
      </c>
      <c r="R4" s="46">
        <v>0.35699999999999998</v>
      </c>
      <c r="S4" s="46">
        <v>0.85499999999999998</v>
      </c>
      <c r="T4" s="46">
        <v>0.86199999999999999</v>
      </c>
      <c r="U4" s="46">
        <v>1.175</v>
      </c>
      <c r="V4" s="46">
        <v>0</v>
      </c>
      <c r="W4" s="46">
        <v>0.47099999999999997</v>
      </c>
      <c r="X4" s="283">
        <v>0.69799999999999995</v>
      </c>
      <c r="Y4" s="283">
        <v>1.2450000000000001</v>
      </c>
      <c r="Z4" s="283">
        <v>0</v>
      </c>
      <c r="AA4" s="283">
        <v>9.6000000000000002E-2</v>
      </c>
      <c r="AB4" s="283">
        <v>0.42599999999999999</v>
      </c>
      <c r="AC4" s="283">
        <v>0.67200000000000004</v>
      </c>
      <c r="AD4" s="283">
        <v>0.307</v>
      </c>
      <c r="AE4" s="283">
        <v>0.60099999999999998</v>
      </c>
      <c r="AF4" s="283">
        <v>0.61399999999999999</v>
      </c>
      <c r="AG4" s="283">
        <v>0.627</v>
      </c>
      <c r="AH4" s="283">
        <v>3.5999999999999997E-2</v>
      </c>
      <c r="AI4" s="283">
        <v>8.5000000000000006E-2</v>
      </c>
      <c r="AJ4" s="283">
        <v>0.108</v>
      </c>
      <c r="AK4" s="283">
        <v>0.11700000000000001</v>
      </c>
      <c r="AL4" s="23"/>
      <c r="AM4" s="8">
        <v>85.909000000000006</v>
      </c>
      <c r="AN4" s="21">
        <v>115.203</v>
      </c>
      <c r="AO4" s="22">
        <v>87.998999999999995</v>
      </c>
      <c r="AP4" s="21">
        <v>82.834000000000003</v>
      </c>
      <c r="AQ4" s="21">
        <f>Q4</f>
        <v>5.2720000000000002</v>
      </c>
      <c r="AR4" s="21">
        <f>U4</f>
        <v>1.175</v>
      </c>
      <c r="AS4" s="21">
        <f>Y4</f>
        <v>1.2450000000000001</v>
      </c>
      <c r="AT4" s="21">
        <f>AC4</f>
        <v>0.67200000000000004</v>
      </c>
      <c r="AU4" s="21">
        <f>AG4</f>
        <v>0.627</v>
      </c>
      <c r="AV4" s="21">
        <f>AK4</f>
        <v>0.11700000000000001</v>
      </c>
    </row>
    <row r="5" spans="1:48" s="15" customFormat="1" x14ac:dyDescent="0.2">
      <c r="A5" s="9" t="s">
        <v>137</v>
      </c>
      <c r="B5" s="10"/>
      <c r="C5" s="11"/>
      <c r="D5" s="11"/>
      <c r="E5" s="14"/>
      <c r="F5" s="11"/>
      <c r="G5" s="11"/>
      <c r="H5" s="11"/>
      <c r="I5" s="14"/>
      <c r="J5" s="13"/>
      <c r="K5" s="11"/>
      <c r="L5" s="12"/>
      <c r="M5" s="12"/>
      <c r="N5" s="13"/>
      <c r="O5" s="13"/>
      <c r="P5" s="13"/>
      <c r="Q5" s="13"/>
      <c r="R5" s="13"/>
      <c r="S5" s="13"/>
      <c r="T5" s="13"/>
      <c r="U5" s="13"/>
      <c r="V5" s="13"/>
      <c r="W5" s="13"/>
      <c r="X5" s="13"/>
      <c r="Y5" s="13"/>
      <c r="Z5" s="13"/>
      <c r="AA5" s="13"/>
      <c r="AB5" s="13"/>
      <c r="AC5" s="13"/>
      <c r="AD5" s="13"/>
      <c r="AE5" s="13"/>
      <c r="AF5" s="13"/>
      <c r="AG5" s="13"/>
      <c r="AH5" s="13"/>
      <c r="AI5" s="13"/>
      <c r="AJ5" s="13"/>
      <c r="AK5" s="13"/>
      <c r="AL5" s="13"/>
      <c r="AM5" s="10"/>
      <c r="AN5" s="14">
        <v>0.34098872062298469</v>
      </c>
      <c r="AO5" s="14">
        <v>-0.23613968386239947</v>
      </c>
      <c r="AP5" s="14">
        <v>-5.8693848793736202E-2</v>
      </c>
      <c r="AQ5" s="14">
        <f>AQ4/AP4-1</f>
        <v>-0.93635463698481303</v>
      </c>
      <c r="AR5" s="14">
        <f>AR4/AQ4-1</f>
        <v>-0.77712443095599393</v>
      </c>
      <c r="AS5" s="14">
        <f>AS4/AR4-1</f>
        <v>5.9574468085106469E-2</v>
      </c>
      <c r="AT5" s="14">
        <f>AT4/AS4-1</f>
        <v>-0.46024096385542168</v>
      </c>
      <c r="AU5" s="14">
        <f>AU4/AT4-1</f>
        <v>-6.6964285714285809E-2</v>
      </c>
      <c r="AV5" s="14">
        <f>AV4/AU4-1</f>
        <v>-0.8133971291866029</v>
      </c>
    </row>
    <row r="6" spans="1:48" x14ac:dyDescent="0.2">
      <c r="A6" s="18" t="s">
        <v>138</v>
      </c>
      <c r="B6" s="23" t="s">
        <v>139</v>
      </c>
      <c r="C6" s="23" t="s">
        <v>139</v>
      </c>
      <c r="D6" s="23" t="s">
        <v>139</v>
      </c>
      <c r="E6" s="21">
        <v>42.487000000000002</v>
      </c>
      <c r="F6" s="23" t="s">
        <v>139</v>
      </c>
      <c r="G6" s="23" t="s">
        <v>139</v>
      </c>
      <c r="H6" s="23" t="s">
        <v>139</v>
      </c>
      <c r="I6" s="21">
        <v>17.420999999999999</v>
      </c>
      <c r="J6" s="23" t="s">
        <v>139</v>
      </c>
      <c r="K6" s="23" t="s">
        <v>139</v>
      </c>
      <c r="L6" s="23" t="s">
        <v>139</v>
      </c>
      <c r="M6" s="23">
        <v>14.696999999999999</v>
      </c>
      <c r="N6" s="23" t="s">
        <v>139</v>
      </c>
      <c r="O6" s="23" t="s">
        <v>139</v>
      </c>
      <c r="P6" s="23"/>
      <c r="Q6" s="23">
        <v>0.8</v>
      </c>
      <c r="R6" s="23" t="s">
        <v>139</v>
      </c>
      <c r="S6" s="23" t="s">
        <v>139</v>
      </c>
      <c r="T6" s="23" t="s">
        <v>139</v>
      </c>
      <c r="U6" s="23">
        <v>7.1999999999999995E-2</v>
      </c>
      <c r="V6" s="23" t="s">
        <v>139</v>
      </c>
      <c r="W6" s="23" t="s">
        <v>139</v>
      </c>
      <c r="X6" s="23" t="s">
        <v>139</v>
      </c>
      <c r="Y6" s="23">
        <v>5.7000000000000002E-2</v>
      </c>
      <c r="Z6" s="23" t="s">
        <v>139</v>
      </c>
      <c r="AA6" s="23" t="s">
        <v>139</v>
      </c>
      <c r="AB6" s="23" t="s">
        <v>139</v>
      </c>
      <c r="AC6" s="23">
        <v>5.1999999999999998E-2</v>
      </c>
      <c r="AD6" s="23" t="s">
        <v>139</v>
      </c>
      <c r="AE6" s="23" t="s">
        <v>139</v>
      </c>
      <c r="AF6" s="23" t="s">
        <v>139</v>
      </c>
      <c r="AG6" s="23">
        <v>4.5999999999999999E-2</v>
      </c>
      <c r="AH6" s="23" t="s">
        <v>139</v>
      </c>
      <c r="AI6" s="23" t="s">
        <v>139</v>
      </c>
      <c r="AJ6" s="23" t="s">
        <v>139</v>
      </c>
      <c r="AK6" s="23">
        <v>2.1139999999999999</v>
      </c>
      <c r="AL6" s="23"/>
      <c r="AM6" s="8">
        <v>17.094000000000001</v>
      </c>
      <c r="AN6" s="21">
        <v>42.487000000000002</v>
      </c>
      <c r="AO6" s="21">
        <v>17.420999999999999</v>
      </c>
      <c r="AP6" s="23">
        <v>14.696999999999999</v>
      </c>
      <c r="AQ6" s="23">
        <f>Q6</f>
        <v>0.8</v>
      </c>
      <c r="AR6" s="23">
        <f>U6</f>
        <v>7.1999999999999995E-2</v>
      </c>
      <c r="AS6" s="23">
        <f>Y6</f>
        <v>5.7000000000000002E-2</v>
      </c>
      <c r="AT6" s="23">
        <f>AC6</f>
        <v>5.1999999999999998E-2</v>
      </c>
      <c r="AU6" s="23">
        <f>AG6</f>
        <v>4.5999999999999999E-2</v>
      </c>
      <c r="AV6" s="23">
        <f>AK6</f>
        <v>2.1139999999999999</v>
      </c>
    </row>
    <row r="7" spans="1:48" s="15" customFormat="1" x14ac:dyDescent="0.2">
      <c r="A7" s="9" t="s">
        <v>137</v>
      </c>
      <c r="B7" s="10"/>
      <c r="C7" s="11"/>
      <c r="D7" s="11"/>
      <c r="E7" s="14"/>
      <c r="F7" s="11"/>
      <c r="G7" s="11"/>
      <c r="H7" s="11"/>
      <c r="I7" s="14"/>
      <c r="J7" s="13"/>
      <c r="K7" s="11"/>
      <c r="L7" s="12"/>
      <c r="M7" s="12"/>
      <c r="N7" s="13"/>
      <c r="O7" s="13"/>
      <c r="P7" s="13"/>
      <c r="Q7" s="13"/>
      <c r="R7" s="13"/>
      <c r="S7" s="13"/>
      <c r="T7" s="13"/>
      <c r="U7" s="13"/>
      <c r="V7" s="13"/>
      <c r="W7" s="13"/>
      <c r="X7" s="13"/>
      <c r="Y7" s="13"/>
      <c r="Z7" s="13"/>
      <c r="AA7" s="13"/>
      <c r="AB7" s="13"/>
      <c r="AC7" s="13"/>
      <c r="AD7" s="13"/>
      <c r="AE7" s="13"/>
      <c r="AF7" s="13"/>
      <c r="AG7" s="13"/>
      <c r="AH7" s="13"/>
      <c r="AI7" s="13"/>
      <c r="AJ7" s="13"/>
      <c r="AK7" s="13"/>
      <c r="AL7" s="13"/>
      <c r="AM7" s="10"/>
      <c r="AN7" s="14">
        <v>1.4854919854919855</v>
      </c>
      <c r="AO7" s="14">
        <v>-0.5899686963071058</v>
      </c>
      <c r="AP7" s="14">
        <v>-0.15636301016015153</v>
      </c>
      <c r="AQ7" s="14">
        <f>AQ6/AP6-1</f>
        <v>-0.94556712254201536</v>
      </c>
      <c r="AR7" s="14">
        <f>AR6/AQ6-1</f>
        <v>-0.91</v>
      </c>
      <c r="AS7" s="14">
        <f>AS6/AR6-1</f>
        <v>-0.20833333333333326</v>
      </c>
      <c r="AT7" s="14">
        <f>AT6/AS6-1</f>
        <v>-8.7719298245614086E-2</v>
      </c>
      <c r="AU7" s="14">
        <f>AU6/AT6-1</f>
        <v>-0.11538461538461531</v>
      </c>
      <c r="AV7" s="14">
        <f>AV6/AU6-1</f>
        <v>44.95652173913043</v>
      </c>
    </row>
    <row r="8" spans="1:48" x14ac:dyDescent="0.2">
      <c r="A8" s="18" t="s">
        <v>3</v>
      </c>
      <c r="B8" s="8">
        <v>9.9350000000000005</v>
      </c>
      <c r="C8" s="29">
        <v>-2.766</v>
      </c>
      <c r="D8" s="29">
        <v>-11.349</v>
      </c>
      <c r="E8" s="29">
        <v>-174.71299999999999</v>
      </c>
      <c r="F8" s="29">
        <v>-17.579999999999998</v>
      </c>
      <c r="G8" s="29">
        <v>-11.464</v>
      </c>
      <c r="H8" s="29">
        <v>-5.6219999999999999</v>
      </c>
      <c r="I8" s="29">
        <v>4.7439999999999998</v>
      </c>
      <c r="J8" s="30">
        <v>11.163</v>
      </c>
      <c r="K8" s="29">
        <v>20.696999999999999</v>
      </c>
      <c r="L8" s="21">
        <v>25.827000000000002</v>
      </c>
      <c r="M8" s="21">
        <v>31.277999999999999</v>
      </c>
      <c r="N8" s="30">
        <v>1.7569999999999999</v>
      </c>
      <c r="O8" s="30">
        <v>1.6559999999999999</v>
      </c>
      <c r="P8" s="30">
        <v>1.68</v>
      </c>
      <c r="Q8" s="30">
        <v>1.41</v>
      </c>
      <c r="R8" s="51">
        <v>-0.13900000000000001</v>
      </c>
      <c r="S8" s="51">
        <v>-0.29399999999999998</v>
      </c>
      <c r="T8" s="51">
        <f>-0.598</f>
        <v>-0.59799999999999998</v>
      </c>
      <c r="U8" s="51">
        <v>-0.91400000000000003</v>
      </c>
      <c r="V8" s="51">
        <v>-0.33400000000000002</v>
      </c>
      <c r="W8" s="51">
        <v>-0.57499999999999996</v>
      </c>
      <c r="X8" s="51">
        <v>-0.78</v>
      </c>
      <c r="Y8" s="51">
        <v>-0.85099999999999998</v>
      </c>
      <c r="Z8" s="51">
        <v>-0.45900000000000002</v>
      </c>
      <c r="AA8" s="51">
        <v>-0.90300000000000002</v>
      </c>
      <c r="AB8" s="51">
        <v>-1.0640000000000001</v>
      </c>
      <c r="AC8" s="51">
        <v>-2.3159999999999998</v>
      </c>
      <c r="AD8" s="51">
        <v>-0.38100000000000001</v>
      </c>
      <c r="AE8" s="51">
        <v>-0.71699999999999997</v>
      </c>
      <c r="AF8" s="51">
        <v>-1.353</v>
      </c>
      <c r="AG8" s="51">
        <v>-2.5129999999999999</v>
      </c>
      <c r="AH8" s="51">
        <v>-0.81699999999999995</v>
      </c>
      <c r="AI8" s="51">
        <v>-1.9</v>
      </c>
      <c r="AJ8" s="51">
        <v>-2.8849999999999998</v>
      </c>
      <c r="AK8" s="51">
        <v>-4.5259999999999998</v>
      </c>
      <c r="AL8" s="30"/>
      <c r="AM8" s="8">
        <v>32.44</v>
      </c>
      <c r="AN8" s="29">
        <v>-174.71299999999999</v>
      </c>
      <c r="AO8" s="29">
        <v>4.7439999999999998</v>
      </c>
      <c r="AP8" s="21">
        <v>31.277999999999999</v>
      </c>
      <c r="AQ8" s="21">
        <f>Q8</f>
        <v>1.41</v>
      </c>
      <c r="AR8" s="21">
        <f>U8</f>
        <v>-0.91400000000000003</v>
      </c>
      <c r="AS8" s="21">
        <f>Y8</f>
        <v>-0.85099999999999998</v>
      </c>
      <c r="AT8" s="21">
        <f>AC8</f>
        <v>-2.3159999999999998</v>
      </c>
      <c r="AU8" s="21">
        <f>AG8</f>
        <v>-2.5129999999999999</v>
      </c>
      <c r="AV8" s="21">
        <f>AK8</f>
        <v>-4.5259999999999998</v>
      </c>
    </row>
    <row r="9" spans="1:48" s="15" customFormat="1" x14ac:dyDescent="0.2">
      <c r="A9" s="9" t="s">
        <v>137</v>
      </c>
      <c r="B9" s="10"/>
      <c r="C9" s="11"/>
      <c r="D9" s="11"/>
      <c r="E9" s="14"/>
      <c r="F9" s="11"/>
      <c r="G9" s="11"/>
      <c r="H9" s="11"/>
      <c r="I9" s="14"/>
      <c r="J9" s="13"/>
      <c r="K9" s="11"/>
      <c r="L9" s="12"/>
      <c r="M9" s="12"/>
      <c r="N9" s="13"/>
      <c r="O9" s="13"/>
      <c r="P9" s="13"/>
      <c r="Q9" s="13"/>
      <c r="R9" s="13"/>
      <c r="S9" s="13"/>
      <c r="T9" s="13"/>
      <c r="U9" s="13"/>
      <c r="V9" s="13"/>
      <c r="W9" s="13"/>
      <c r="X9" s="13"/>
      <c r="Y9" s="13"/>
      <c r="Z9" s="13"/>
      <c r="AA9" s="13"/>
      <c r="AB9" s="13"/>
      <c r="AC9" s="13"/>
      <c r="AD9" s="13"/>
      <c r="AE9" s="13"/>
      <c r="AF9" s="13"/>
      <c r="AG9" s="13"/>
      <c r="AH9" s="13"/>
      <c r="AI9" s="13"/>
      <c r="AJ9" s="13"/>
      <c r="AK9" s="13"/>
      <c r="AL9" s="13"/>
      <c r="AM9" s="10"/>
      <c r="AN9" s="14">
        <v>-6.3857274969173865</v>
      </c>
      <c r="AO9" s="14">
        <v>-1.0271531025166989</v>
      </c>
      <c r="AP9" s="14">
        <v>5.5931703204047221</v>
      </c>
      <c r="AQ9" s="14">
        <f>AQ8/AP8-1</f>
        <v>-0.9549203913293689</v>
      </c>
      <c r="AR9" s="14">
        <f>AR8/AQ8-1</f>
        <v>-1.6482269503546099</v>
      </c>
      <c r="AS9" s="14">
        <f>AS8/AR8-1</f>
        <v>-6.8927789934354555E-2</v>
      </c>
      <c r="AT9" s="14">
        <f>AT8/AS8-1</f>
        <v>1.7215041128084607</v>
      </c>
      <c r="AU9" s="14">
        <f>AU8/AT8-1</f>
        <v>8.5060449050086362E-2</v>
      </c>
      <c r="AV9" s="14">
        <f>AV8/AU8-1</f>
        <v>0.80103461997612424</v>
      </c>
    </row>
    <row r="10" spans="1:48" x14ac:dyDescent="0.2">
      <c r="A10" s="32"/>
      <c r="B10" s="25"/>
      <c r="C10" s="25"/>
      <c r="D10" s="25"/>
      <c r="E10" s="25"/>
      <c r="F10" s="25"/>
      <c r="G10" s="25"/>
      <c r="H10" s="33"/>
      <c r="I10" s="33"/>
      <c r="J10" s="52"/>
      <c r="K10" s="25"/>
      <c r="L10" s="25"/>
      <c r="M10" s="25"/>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38"/>
      <c r="AM10" s="33"/>
      <c r="AN10" s="33"/>
      <c r="AO10" s="33"/>
      <c r="AP10" s="33"/>
      <c r="AQ10" s="33"/>
      <c r="AR10" s="33"/>
      <c r="AS10" s="33"/>
      <c r="AT10" s="33"/>
      <c r="AU10" s="33"/>
      <c r="AV10" s="33"/>
    </row>
    <row r="11" spans="1:48" s="36" customFormat="1" x14ac:dyDescent="0.2">
      <c r="A11" s="18"/>
      <c r="B11" s="27"/>
      <c r="C11" s="27"/>
      <c r="D11" s="27"/>
      <c r="E11" s="27"/>
      <c r="F11" s="27"/>
      <c r="G11" s="27"/>
      <c r="H11" s="28"/>
      <c r="I11" s="28"/>
      <c r="J11" s="45"/>
      <c r="K11" s="27"/>
      <c r="L11" s="19"/>
      <c r="M11" s="19"/>
      <c r="N11" s="45"/>
      <c r="O11" s="45"/>
      <c r="P11" s="45"/>
      <c r="Q11" s="45"/>
      <c r="R11" s="4"/>
      <c r="S11" s="4"/>
      <c r="T11" s="4"/>
      <c r="U11" s="4"/>
      <c r="V11" s="4"/>
      <c r="W11" s="4"/>
      <c r="X11" s="4"/>
      <c r="Y11" s="4"/>
      <c r="Z11" s="4"/>
      <c r="AA11" s="4"/>
      <c r="AB11" s="4"/>
      <c r="AC11" s="4"/>
      <c r="AD11" s="4"/>
      <c r="AE11" s="4"/>
      <c r="AF11" s="4"/>
      <c r="AG11" s="4"/>
      <c r="AH11" s="4"/>
      <c r="AI11" s="4"/>
      <c r="AJ11" s="4"/>
      <c r="AK11" s="4"/>
      <c r="AL11" s="45"/>
      <c r="AM11" s="19"/>
      <c r="AN11" s="19"/>
      <c r="AO11" s="19"/>
      <c r="AP11" s="19"/>
      <c r="AQ11" s="19"/>
      <c r="AR11" s="19"/>
      <c r="AS11" s="19"/>
      <c r="AT11" s="19"/>
      <c r="AU11" s="19"/>
      <c r="AV11" s="19"/>
    </row>
    <row r="12" spans="1:48" s="36" customFormat="1" x14ac:dyDescent="0.2">
      <c r="A12" s="2" t="s">
        <v>132</v>
      </c>
      <c r="B12" s="3" t="s">
        <v>282</v>
      </c>
      <c r="C12" s="4" t="s">
        <v>283</v>
      </c>
      <c r="D12" s="4" t="s">
        <v>284</v>
      </c>
      <c r="E12" s="4" t="s">
        <v>22</v>
      </c>
      <c r="F12" s="3" t="s">
        <v>285</v>
      </c>
      <c r="G12" s="3" t="s">
        <v>286</v>
      </c>
      <c r="H12" s="4" t="s">
        <v>287</v>
      </c>
      <c r="I12" s="4" t="s">
        <v>288</v>
      </c>
      <c r="J12" s="5" t="s">
        <v>289</v>
      </c>
      <c r="K12" s="3" t="s">
        <v>290</v>
      </c>
      <c r="L12" s="3" t="s">
        <v>291</v>
      </c>
      <c r="M12" s="3" t="s">
        <v>292</v>
      </c>
      <c r="N12" s="4" t="s">
        <v>279</v>
      </c>
      <c r="O12" s="4" t="s">
        <v>280</v>
      </c>
      <c r="P12" s="4" t="s">
        <v>281</v>
      </c>
      <c r="Q12" s="4" t="s">
        <v>183</v>
      </c>
      <c r="R12" s="4" t="s">
        <v>187</v>
      </c>
      <c r="S12" s="4" t="s">
        <v>200</v>
      </c>
      <c r="T12" s="4" t="s">
        <v>203</v>
      </c>
      <c r="U12" s="4" t="s">
        <v>206</v>
      </c>
      <c r="V12" s="4" t="s">
        <v>278</v>
      </c>
      <c r="W12" s="4" t="s">
        <v>211</v>
      </c>
      <c r="X12" s="4" t="s">
        <v>213</v>
      </c>
      <c r="Y12" s="4" t="s">
        <v>215</v>
      </c>
      <c r="Z12" s="4" t="s">
        <v>272</v>
      </c>
      <c r="AA12" s="4" t="s">
        <v>227</v>
      </c>
      <c r="AB12" s="4" t="s">
        <v>237</v>
      </c>
      <c r="AC12" s="4" t="s">
        <v>239</v>
      </c>
      <c r="AD12" s="4" t="s">
        <v>273</v>
      </c>
      <c r="AE12" s="4" t="s">
        <v>274</v>
      </c>
      <c r="AF12" s="4" t="s">
        <v>248</v>
      </c>
      <c r="AG12" s="4" t="s">
        <v>255</v>
      </c>
      <c r="AH12" s="4" t="s">
        <v>275</v>
      </c>
      <c r="AI12" s="4" t="s">
        <v>276</v>
      </c>
      <c r="AJ12" s="4" t="s">
        <v>277</v>
      </c>
      <c r="AK12" s="4" t="s">
        <v>295</v>
      </c>
      <c r="AL12" s="6"/>
      <c r="AM12" s="4">
        <v>2005</v>
      </c>
      <c r="AN12" s="4">
        <v>2006</v>
      </c>
      <c r="AO12" s="4">
        <v>2007</v>
      </c>
      <c r="AP12" s="4">
        <v>2008</v>
      </c>
      <c r="AQ12" s="4">
        <v>2009</v>
      </c>
      <c r="AR12" s="4">
        <v>2010</v>
      </c>
      <c r="AS12" s="4">
        <v>2011</v>
      </c>
      <c r="AT12" s="4">
        <v>2012</v>
      </c>
      <c r="AU12" s="4">
        <v>2013</v>
      </c>
      <c r="AV12" s="4">
        <v>2014</v>
      </c>
    </row>
    <row r="13" spans="1:48" ht="22.5" x14ac:dyDescent="0.2">
      <c r="A13" s="37" t="s">
        <v>52</v>
      </c>
      <c r="B13" s="23" t="s">
        <v>139</v>
      </c>
      <c r="C13" s="23" t="s">
        <v>139</v>
      </c>
      <c r="D13" s="23" t="s">
        <v>139</v>
      </c>
      <c r="E13" s="8">
        <v>35.634999999999998</v>
      </c>
      <c r="F13" s="23" t="s">
        <v>139</v>
      </c>
      <c r="G13" s="23" t="s">
        <v>139</v>
      </c>
      <c r="H13" s="23" t="s">
        <v>139</v>
      </c>
      <c r="I13" s="8">
        <v>17.965</v>
      </c>
      <c r="J13" s="23" t="s">
        <v>139</v>
      </c>
      <c r="K13" s="23" t="s">
        <v>139</v>
      </c>
      <c r="L13" s="23" t="s">
        <v>139</v>
      </c>
      <c r="M13" s="23">
        <v>35.119999999999997</v>
      </c>
      <c r="N13" s="23" t="s">
        <v>139</v>
      </c>
      <c r="O13" s="23" t="s">
        <v>139</v>
      </c>
      <c r="P13" s="23"/>
      <c r="Q13" s="23">
        <v>0.05</v>
      </c>
      <c r="R13" s="23" t="s">
        <v>139</v>
      </c>
      <c r="S13" s="23" t="s">
        <v>139</v>
      </c>
      <c r="T13" s="23" t="s">
        <v>139</v>
      </c>
      <c r="U13" s="23">
        <v>3.4649999999999999</v>
      </c>
      <c r="V13" s="23" t="s">
        <v>139</v>
      </c>
      <c r="W13" s="23" t="s">
        <v>139</v>
      </c>
      <c r="X13" s="23" t="s">
        <v>139</v>
      </c>
      <c r="Y13" s="23">
        <v>3.4740000000000002</v>
      </c>
      <c r="Z13" s="23" t="s">
        <v>139</v>
      </c>
      <c r="AA13" s="23" t="s">
        <v>139</v>
      </c>
      <c r="AB13" s="23" t="s">
        <v>139</v>
      </c>
      <c r="AC13" s="23">
        <v>2.38</v>
      </c>
      <c r="AD13" s="23" t="s">
        <v>139</v>
      </c>
      <c r="AE13" s="23" t="s">
        <v>139</v>
      </c>
      <c r="AF13" s="23" t="s">
        <v>139</v>
      </c>
      <c r="AG13" s="23">
        <v>10.877000000000001</v>
      </c>
      <c r="AH13" s="23" t="s">
        <v>139</v>
      </c>
      <c r="AI13" s="23" t="s">
        <v>139</v>
      </c>
      <c r="AJ13" s="23" t="s">
        <v>139</v>
      </c>
      <c r="AK13" s="23">
        <v>18.751999999999999</v>
      </c>
      <c r="AL13" s="23"/>
      <c r="AM13" s="8">
        <v>12.769</v>
      </c>
      <c r="AN13" s="8">
        <v>35.634999999999998</v>
      </c>
      <c r="AO13" s="8">
        <v>17.965</v>
      </c>
      <c r="AP13" s="8">
        <v>35.119999999999997</v>
      </c>
      <c r="AQ13" s="8">
        <f>Q13</f>
        <v>0.05</v>
      </c>
      <c r="AR13" s="8">
        <f>U13</f>
        <v>3.4649999999999999</v>
      </c>
      <c r="AS13" s="8">
        <f>Y13</f>
        <v>3.4740000000000002</v>
      </c>
      <c r="AT13" s="8">
        <f>AC13</f>
        <v>2.38</v>
      </c>
      <c r="AU13" s="8">
        <f>AG13</f>
        <v>10.877000000000001</v>
      </c>
      <c r="AV13" s="8">
        <f>AK13</f>
        <v>18.751999999999999</v>
      </c>
    </row>
    <row r="14" spans="1:48" s="43" customFormat="1" x14ac:dyDescent="0.2">
      <c r="A14" s="9" t="s">
        <v>137</v>
      </c>
      <c r="B14" s="39"/>
      <c r="C14" s="40"/>
      <c r="D14" s="40"/>
      <c r="E14" s="40"/>
      <c r="F14" s="40"/>
      <c r="G14" s="40"/>
      <c r="H14" s="41"/>
      <c r="I14" s="41"/>
      <c r="J14" s="13"/>
      <c r="K14" s="40"/>
      <c r="L14" s="41"/>
      <c r="M14" s="41"/>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42"/>
      <c r="AN14" s="14">
        <v>1.7907432062025217</v>
      </c>
      <c r="AO14" s="14">
        <v>-0.4958608110004209</v>
      </c>
      <c r="AP14" s="14">
        <v>0.95491232952964089</v>
      </c>
      <c r="AQ14" s="14">
        <f>AQ13/AP13-1</f>
        <v>-0.99857630979498857</v>
      </c>
      <c r="AR14" s="14">
        <f>AR13/AQ13-1</f>
        <v>68.3</v>
      </c>
      <c r="AS14" s="14">
        <f>AS13/AR13-1</f>
        <v>2.5974025974027093E-3</v>
      </c>
      <c r="AT14" s="14">
        <f>AT13/AS13-1</f>
        <v>-0.31491076568796783</v>
      </c>
      <c r="AU14" s="14">
        <f>AU13/AT13-1</f>
        <v>3.5701680672268914</v>
      </c>
      <c r="AV14" s="14">
        <f>AV13/AU13-1</f>
        <v>0.72400478072998053</v>
      </c>
    </row>
    <row r="15" spans="1:48" x14ac:dyDescent="0.2">
      <c r="A15" s="18"/>
      <c r="B15" s="21"/>
      <c r="C15" s="21"/>
      <c r="D15" s="21"/>
      <c r="E15" s="21"/>
      <c r="F15" s="21"/>
      <c r="G15" s="21"/>
      <c r="H15" s="21"/>
      <c r="I15" s="21"/>
      <c r="J15" s="23"/>
      <c r="K15" s="21"/>
      <c r="L15" s="21"/>
      <c r="M15" s="21"/>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1"/>
      <c r="AN15" s="21"/>
      <c r="AO15" s="21"/>
      <c r="AP15" s="21"/>
    </row>
    <row r="16" spans="1:48" x14ac:dyDescent="0.2">
      <c r="A16" s="53"/>
    </row>
  </sheetData>
  <phoneticPr fontId="2" type="noConversion"/>
  <pageMargins left="0.7" right="0.7" top="0.75" bottom="0.75" header="0.3" footer="0.3"/>
  <pageSetup paperSize="9" scale="59" orientation="landscape" r:id="rId1"/>
  <ignoredErrors>
    <ignoredError sqref="AQ5 AR5:AR8 AQ7 AQ6 AQ8 AS5:AS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60"/>
  <sheetViews>
    <sheetView showGridLines="0" view="pageBreakPreview" zoomScale="85" zoomScaleNormal="70" zoomScaleSheetLayoutView="85" workbookViewId="0">
      <pane xSplit="1" ySplit="1" topLeftCell="B2" activePane="bottomRight" state="frozen"/>
      <selection pane="topRight" activeCell="B1" sqref="B1"/>
      <selection pane="bottomLeft" activeCell="A2" sqref="A2"/>
      <selection pane="bottomRight" activeCell="AS62" sqref="AS62"/>
    </sheetView>
  </sheetViews>
  <sheetFormatPr defaultRowHeight="12.75" outlineLevelCol="1" x14ac:dyDescent="0.2"/>
  <cols>
    <col min="1" max="1" width="49.42578125" style="88" customWidth="1"/>
    <col min="2" max="12" width="8.85546875" style="66" hidden="1" customWidth="1" outlineLevel="1"/>
    <col min="13" max="13" width="8.85546875" style="66" customWidth="1" collapsed="1"/>
    <col min="14" max="15" width="8.85546875" style="66" hidden="1" customWidth="1" outlineLevel="1"/>
    <col min="16" max="16" width="8.7109375" style="66" hidden="1" customWidth="1" outlineLevel="1"/>
    <col min="17" max="17" width="8.7109375" style="66" customWidth="1" collapsed="1"/>
    <col min="18" max="20" width="8.7109375" style="66" hidden="1" customWidth="1" outlineLevel="1"/>
    <col min="21" max="21" width="8.7109375" style="66" customWidth="1" collapsed="1"/>
    <col min="22" max="24" width="8.7109375" style="66" hidden="1" customWidth="1" outlineLevel="1"/>
    <col min="25" max="25" width="8.7109375" style="66" customWidth="1" collapsed="1"/>
    <col min="26" max="37" width="8.7109375" style="66" customWidth="1"/>
    <col min="38" max="38" width="5.140625" style="66" customWidth="1"/>
    <col min="39" max="42" width="8.85546875" style="66" customWidth="1"/>
    <col min="43" max="43" width="9.140625" style="1"/>
    <col min="44" max="48" width="8.7109375" style="66" customWidth="1"/>
    <col min="49" max="16384" width="9.140625" style="1"/>
  </cols>
  <sheetData>
    <row r="1" spans="1:48" ht="13.5" thickBot="1" x14ac:dyDescent="0.25">
      <c r="A1" s="54" t="s">
        <v>146</v>
      </c>
      <c r="B1" s="55" t="s">
        <v>282</v>
      </c>
      <c r="C1" s="55" t="s">
        <v>283</v>
      </c>
      <c r="D1" s="55" t="s">
        <v>284</v>
      </c>
      <c r="E1" s="55" t="s">
        <v>294</v>
      </c>
      <c r="F1" s="55" t="s">
        <v>285</v>
      </c>
      <c r="G1" s="55" t="s">
        <v>286</v>
      </c>
      <c r="H1" s="55" t="s">
        <v>287</v>
      </c>
      <c r="I1" s="55" t="s">
        <v>288</v>
      </c>
      <c r="J1" s="56" t="s">
        <v>289</v>
      </c>
      <c r="K1" s="56" t="s">
        <v>290</v>
      </c>
      <c r="L1" s="56" t="s">
        <v>291</v>
      </c>
      <c r="M1" s="55" t="s">
        <v>292</v>
      </c>
      <c r="N1" s="55" t="s">
        <v>279</v>
      </c>
      <c r="O1" s="56" t="s">
        <v>280</v>
      </c>
      <c r="P1" s="56" t="s">
        <v>281</v>
      </c>
      <c r="Q1" s="56" t="s">
        <v>183</v>
      </c>
      <c r="R1" s="56" t="s">
        <v>187</v>
      </c>
      <c r="S1" s="56" t="s">
        <v>200</v>
      </c>
      <c r="T1" s="56" t="s">
        <v>203</v>
      </c>
      <c r="U1" s="56" t="s">
        <v>206</v>
      </c>
      <c r="V1" s="56" t="s">
        <v>278</v>
      </c>
      <c r="W1" s="56" t="s">
        <v>211</v>
      </c>
      <c r="X1" s="56" t="s">
        <v>213</v>
      </c>
      <c r="Y1" s="56" t="s">
        <v>215</v>
      </c>
      <c r="Z1" s="56" t="s">
        <v>272</v>
      </c>
      <c r="AA1" s="56" t="s">
        <v>227</v>
      </c>
      <c r="AB1" s="56" t="s">
        <v>237</v>
      </c>
      <c r="AC1" s="56" t="s">
        <v>239</v>
      </c>
      <c r="AD1" s="56" t="s">
        <v>273</v>
      </c>
      <c r="AE1" s="96" t="s">
        <v>274</v>
      </c>
      <c r="AF1" s="56" t="s">
        <v>248</v>
      </c>
      <c r="AG1" s="56" t="s">
        <v>255</v>
      </c>
      <c r="AH1" s="56" t="s">
        <v>275</v>
      </c>
      <c r="AI1" s="96" t="s">
        <v>276</v>
      </c>
      <c r="AJ1" s="96" t="s">
        <v>277</v>
      </c>
      <c r="AK1" s="96" t="s">
        <v>295</v>
      </c>
      <c r="AL1" s="56"/>
      <c r="AM1" s="55">
        <v>2005</v>
      </c>
      <c r="AN1" s="55">
        <v>2006</v>
      </c>
      <c r="AO1" s="55">
        <v>2007</v>
      </c>
      <c r="AP1" s="55">
        <v>2008</v>
      </c>
      <c r="AQ1" s="55">
        <v>2009</v>
      </c>
      <c r="AR1" s="56">
        <v>2010</v>
      </c>
      <c r="AS1" s="56">
        <v>2011</v>
      </c>
      <c r="AT1" s="56">
        <v>2012</v>
      </c>
      <c r="AU1" s="56">
        <v>2013</v>
      </c>
      <c r="AV1" s="56">
        <v>2014</v>
      </c>
    </row>
    <row r="2" spans="1:48" s="48" customFormat="1" x14ac:dyDescent="0.2">
      <c r="A2" s="57"/>
      <c r="B2" s="57"/>
      <c r="C2" s="57"/>
      <c r="D2" s="57"/>
      <c r="E2" s="57"/>
      <c r="F2" s="57"/>
      <c r="G2" s="57"/>
      <c r="H2" s="57"/>
      <c r="I2" s="57"/>
      <c r="J2" s="57"/>
      <c r="K2" s="57"/>
      <c r="L2" s="58"/>
      <c r="M2" s="58"/>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row>
    <row r="3" spans="1:48" ht="12" customHeight="1" x14ac:dyDescent="0.2">
      <c r="A3" s="59" t="s">
        <v>71</v>
      </c>
      <c r="B3" s="60">
        <v>1086809</v>
      </c>
      <c r="C3" s="60">
        <v>2541985</v>
      </c>
      <c r="D3" s="60">
        <v>4284964</v>
      </c>
      <c r="E3" s="60">
        <v>6045625</v>
      </c>
      <c r="F3" s="60">
        <v>1750166</v>
      </c>
      <c r="G3" s="60">
        <v>3609079</v>
      </c>
      <c r="H3" s="60">
        <v>5545557</v>
      </c>
      <c r="I3" s="60">
        <v>7719061</v>
      </c>
      <c r="J3" s="60">
        <v>2353260</v>
      </c>
      <c r="K3" s="60">
        <v>5883616</v>
      </c>
      <c r="L3" s="60">
        <v>9639887</v>
      </c>
      <c r="M3" s="60">
        <v>11698661</v>
      </c>
      <c r="N3" s="60">
        <v>1293326</v>
      </c>
      <c r="O3" s="60">
        <v>2586261</v>
      </c>
      <c r="P3" s="60">
        <v>4325331</v>
      </c>
      <c r="Q3" s="60">
        <v>6139895</v>
      </c>
      <c r="R3" s="60">
        <v>1697442</v>
      </c>
      <c r="S3" s="60">
        <v>3853128</v>
      </c>
      <c r="T3" s="60">
        <v>6084636</v>
      </c>
      <c r="U3" s="60">
        <v>8350748</v>
      </c>
      <c r="V3" s="60">
        <v>2358878</v>
      </c>
      <c r="W3" s="60">
        <v>5341145</v>
      </c>
      <c r="X3" s="60">
        <v>8675117</v>
      </c>
      <c r="Y3" s="60">
        <v>11728556</v>
      </c>
      <c r="Z3" s="60">
        <v>3094341</v>
      </c>
      <c r="AA3" s="60">
        <v>6351484</v>
      </c>
      <c r="AB3" s="60">
        <v>9353666</v>
      </c>
      <c r="AC3" s="60">
        <v>12156592</v>
      </c>
      <c r="AD3" s="60">
        <v>2855822</v>
      </c>
      <c r="AE3" s="60">
        <v>5685024</v>
      </c>
      <c r="AF3" s="60">
        <v>8404675</v>
      </c>
      <c r="AG3" s="60">
        <v>10909442</v>
      </c>
      <c r="AH3" s="60">
        <v>2637829</v>
      </c>
      <c r="AI3" s="60">
        <v>5446019</v>
      </c>
      <c r="AJ3" s="60">
        <v>8053020</v>
      </c>
      <c r="AK3" s="60">
        <v>10395746</v>
      </c>
      <c r="AL3" s="60"/>
      <c r="AM3" s="60">
        <v>4375806</v>
      </c>
      <c r="AN3" s="60">
        <v>6045625</v>
      </c>
      <c r="AO3" s="60">
        <v>7719061</v>
      </c>
      <c r="AP3" s="60">
        <v>11698661</v>
      </c>
      <c r="AQ3" s="60">
        <f>Q3</f>
        <v>6139895</v>
      </c>
      <c r="AR3" s="60">
        <f>U3</f>
        <v>8350748</v>
      </c>
      <c r="AS3" s="60">
        <f>Y3</f>
        <v>11728556</v>
      </c>
      <c r="AT3" s="60">
        <f>AC3</f>
        <v>12156592</v>
      </c>
      <c r="AU3" s="60">
        <f>AG3</f>
        <v>10909442</v>
      </c>
      <c r="AV3" s="60">
        <f>AK3</f>
        <v>10395746</v>
      </c>
    </row>
    <row r="4" spans="1:48" ht="5.25" customHeight="1" x14ac:dyDescent="0.2">
      <c r="A4" s="6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row>
    <row r="5" spans="1:48" x14ac:dyDescent="0.2">
      <c r="A5" s="63" t="s">
        <v>72</v>
      </c>
      <c r="B5" s="64">
        <v>-574969</v>
      </c>
      <c r="C5" s="64">
        <v>-1236662</v>
      </c>
      <c r="D5" s="64">
        <v>-1988160</v>
      </c>
      <c r="E5" s="64">
        <v>-2716434</v>
      </c>
      <c r="F5" s="64">
        <v>-830451</v>
      </c>
      <c r="G5" s="64">
        <v>-1663079</v>
      </c>
      <c r="H5" s="64">
        <v>-2525207</v>
      </c>
      <c r="I5" s="64">
        <v>-3569331</v>
      </c>
      <c r="J5" s="64">
        <v>-1194925</v>
      </c>
      <c r="K5" s="64">
        <v>-2988536</v>
      </c>
      <c r="L5" s="65">
        <v>-4507769</v>
      </c>
      <c r="M5" s="65">
        <v>-5808780</v>
      </c>
      <c r="N5" s="65">
        <v>-874389</v>
      </c>
      <c r="O5" s="64">
        <v>-1669866</v>
      </c>
      <c r="P5" s="64">
        <v>-2672718</v>
      </c>
      <c r="Q5" s="64">
        <v>-3672245</v>
      </c>
      <c r="R5" s="64">
        <v>-1050443</v>
      </c>
      <c r="S5" s="64">
        <v>-2196645</v>
      </c>
      <c r="T5" s="64">
        <v>-3457088</v>
      </c>
      <c r="U5" s="64">
        <v>-4933236</v>
      </c>
      <c r="V5" s="64">
        <v>-1465767</v>
      </c>
      <c r="W5" s="64">
        <v>-3250461</v>
      </c>
      <c r="X5" s="64">
        <v>-5617718</v>
      </c>
      <c r="Y5" s="64">
        <v>-7780243</v>
      </c>
      <c r="Z5" s="64">
        <v>-2209677</v>
      </c>
      <c r="AA5" s="64">
        <v>-4414759</v>
      </c>
      <c r="AB5" s="64">
        <v>-6510018</v>
      </c>
      <c r="AC5" s="64">
        <v>-8494438</v>
      </c>
      <c r="AD5" s="64">
        <v>-2124755</v>
      </c>
      <c r="AE5" s="64">
        <v>-4182578</v>
      </c>
      <c r="AF5" s="64">
        <v>-6175357</v>
      </c>
      <c r="AG5" s="64">
        <v>-7928521</v>
      </c>
      <c r="AH5" s="64">
        <v>-1824844</v>
      </c>
      <c r="AI5" s="64">
        <v>-3694085</v>
      </c>
      <c r="AJ5" s="64">
        <v>-5286059</v>
      </c>
      <c r="AK5" s="64">
        <v>-6673256</v>
      </c>
      <c r="AL5" s="64"/>
      <c r="AM5" s="64">
        <v>-2048828</v>
      </c>
      <c r="AN5" s="64">
        <v>-2716434</v>
      </c>
      <c r="AO5" s="64">
        <v>-3569331</v>
      </c>
      <c r="AP5" s="64">
        <v>-5808780</v>
      </c>
      <c r="AQ5" s="64">
        <f>Q5</f>
        <v>-3672245</v>
      </c>
      <c r="AR5" s="64">
        <f>U5</f>
        <v>-4933236</v>
      </c>
      <c r="AS5" s="64">
        <f>Y5</f>
        <v>-7780243</v>
      </c>
      <c r="AT5" s="64">
        <f>AC5</f>
        <v>-8494438</v>
      </c>
      <c r="AU5" s="64">
        <f>AG5</f>
        <v>-7928521</v>
      </c>
      <c r="AV5" s="64">
        <f>AK5</f>
        <v>-6673256</v>
      </c>
    </row>
    <row r="6" spans="1:48" s="50" customFormat="1" x14ac:dyDescent="0.2">
      <c r="A6" s="63" t="s">
        <v>34</v>
      </c>
      <c r="B6" s="64">
        <v>-73701</v>
      </c>
      <c r="C6" s="64">
        <v>-158305</v>
      </c>
      <c r="D6" s="64">
        <v>-250018</v>
      </c>
      <c r="E6" s="64">
        <v>-357941</v>
      </c>
      <c r="F6" s="64">
        <v>-102342</v>
      </c>
      <c r="G6" s="64">
        <v>-197752</v>
      </c>
      <c r="H6" s="64">
        <v>-297161</v>
      </c>
      <c r="I6" s="64">
        <v>-407699</v>
      </c>
      <c r="J6" s="64">
        <v>-119354</v>
      </c>
      <c r="K6" s="64">
        <v>-245884</v>
      </c>
      <c r="L6" s="65">
        <v>-379690</v>
      </c>
      <c r="M6" s="65">
        <v>-498994</v>
      </c>
      <c r="N6" s="65">
        <v>-96625</v>
      </c>
      <c r="O6" s="64">
        <v>-222745</v>
      </c>
      <c r="P6" s="64">
        <v>-348684</v>
      </c>
      <c r="Q6" s="64">
        <v>-478117</v>
      </c>
      <c r="R6" s="64">
        <v>-122995</v>
      </c>
      <c r="S6" s="64">
        <v>-245892</v>
      </c>
      <c r="T6" s="64">
        <v>-357160</v>
      </c>
      <c r="U6" s="64">
        <v>-469418</v>
      </c>
      <c r="V6" s="64">
        <v>-124044</v>
      </c>
      <c r="W6" s="64">
        <v>-258638</v>
      </c>
      <c r="X6" s="64">
        <v>-459988</v>
      </c>
      <c r="Y6" s="64">
        <v>-588707</v>
      </c>
      <c r="Z6" s="64">
        <v>-177090</v>
      </c>
      <c r="AA6" s="64">
        <v>-348024</v>
      </c>
      <c r="AB6" s="64">
        <v>-569121</v>
      </c>
      <c r="AC6" s="64">
        <v>-767715</v>
      </c>
      <c r="AD6" s="64">
        <v>-207249</v>
      </c>
      <c r="AE6" s="64">
        <v>-426928</v>
      </c>
      <c r="AF6" s="64">
        <v>-656430</v>
      </c>
      <c r="AG6" s="64">
        <v>-861516</v>
      </c>
      <c r="AH6" s="64">
        <v>-199214</v>
      </c>
      <c r="AI6" s="64">
        <v>-411425</v>
      </c>
      <c r="AJ6" s="64">
        <v>-619742</v>
      </c>
      <c r="AK6" s="64">
        <v>-784991</v>
      </c>
      <c r="AL6" s="64"/>
      <c r="AM6" s="64">
        <v>-282876</v>
      </c>
      <c r="AN6" s="64">
        <v>-357941</v>
      </c>
      <c r="AO6" s="64">
        <v>-407699</v>
      </c>
      <c r="AP6" s="64">
        <v>-498994</v>
      </c>
      <c r="AQ6" s="64">
        <f>Q6</f>
        <v>-478117</v>
      </c>
      <c r="AR6" s="64">
        <f>U6</f>
        <v>-469418</v>
      </c>
      <c r="AS6" s="64">
        <f>Y6</f>
        <v>-588707</v>
      </c>
      <c r="AT6" s="64">
        <f>AC6</f>
        <v>-767715</v>
      </c>
      <c r="AU6" s="64">
        <f>AG6</f>
        <v>-861516</v>
      </c>
      <c r="AV6" s="64">
        <f>AK6</f>
        <v>-784991</v>
      </c>
    </row>
    <row r="7" spans="1:48" s="50" customFormat="1" ht="5.25" customHeight="1" x14ac:dyDescent="0.2">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row>
    <row r="8" spans="1:48" s="50" customFormat="1" x14ac:dyDescent="0.2">
      <c r="A8" s="59" t="s">
        <v>73</v>
      </c>
      <c r="B8" s="60">
        <v>438139</v>
      </c>
      <c r="C8" s="60">
        <v>1147018</v>
      </c>
      <c r="D8" s="60">
        <v>2046786</v>
      </c>
      <c r="E8" s="60">
        <v>2971250</v>
      </c>
      <c r="F8" s="60">
        <v>817373</v>
      </c>
      <c r="G8" s="60">
        <v>1748248</v>
      </c>
      <c r="H8" s="60">
        <v>2723189</v>
      </c>
      <c r="I8" s="60">
        <v>3742031</v>
      </c>
      <c r="J8" s="60">
        <v>1038981</v>
      </c>
      <c r="K8" s="60">
        <v>2649196</v>
      </c>
      <c r="L8" s="60">
        <v>4752428</v>
      </c>
      <c r="M8" s="60">
        <v>5390887</v>
      </c>
      <c r="N8" s="60">
        <v>322312</v>
      </c>
      <c r="O8" s="60">
        <v>693650</v>
      </c>
      <c r="P8" s="60">
        <v>1303929</v>
      </c>
      <c r="Q8" s="60">
        <v>1989533</v>
      </c>
      <c r="R8" s="60">
        <v>524004</v>
      </c>
      <c r="S8" s="60">
        <v>1410591</v>
      </c>
      <c r="T8" s="60">
        <v>2270388</v>
      </c>
      <c r="U8" s="60">
        <v>2948094</v>
      </c>
      <c r="V8" s="60">
        <v>769067</v>
      </c>
      <c r="W8" s="60">
        <v>1832046</v>
      </c>
      <c r="X8" s="60">
        <v>2597411</v>
      </c>
      <c r="Y8" s="60">
        <v>3359606</v>
      </c>
      <c r="Z8" s="60">
        <v>707574</v>
      </c>
      <c r="AA8" s="60">
        <v>1588701</v>
      </c>
      <c r="AB8" s="60">
        <v>2274527</v>
      </c>
      <c r="AC8" s="60">
        <v>2894439</v>
      </c>
      <c r="AD8" s="60">
        <v>523818</v>
      </c>
      <c r="AE8" s="60">
        <v>1075518</v>
      </c>
      <c r="AF8" s="60">
        <v>1572888</v>
      </c>
      <c r="AG8" s="60">
        <v>2119405</v>
      </c>
      <c r="AH8" s="60">
        <v>613771</v>
      </c>
      <c r="AI8" s="60">
        <v>1340509</v>
      </c>
      <c r="AJ8" s="60">
        <v>2147219</v>
      </c>
      <c r="AK8" s="60">
        <v>2937499</v>
      </c>
      <c r="AL8" s="60"/>
      <c r="AM8" s="60">
        <v>2044102</v>
      </c>
      <c r="AN8" s="60">
        <v>2971250</v>
      </c>
      <c r="AO8" s="60">
        <v>3742031</v>
      </c>
      <c r="AP8" s="60">
        <v>5390887</v>
      </c>
      <c r="AQ8" s="60">
        <f>Q8</f>
        <v>1989533</v>
      </c>
      <c r="AR8" s="60">
        <f>U8</f>
        <v>2948094</v>
      </c>
      <c r="AS8" s="60">
        <f>Y8</f>
        <v>3359606</v>
      </c>
      <c r="AT8" s="60">
        <f>AC8</f>
        <v>2894439</v>
      </c>
      <c r="AU8" s="60">
        <f>AG8</f>
        <v>2119405</v>
      </c>
      <c r="AV8" s="60">
        <f>AK8</f>
        <v>2937499</v>
      </c>
    </row>
    <row r="9" spans="1:48" s="50" customFormat="1" ht="5.25" customHeight="1" x14ac:dyDescent="0.2">
      <c r="A9" s="6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row>
    <row r="10" spans="1:48" s="50" customFormat="1" x14ac:dyDescent="0.2">
      <c r="A10" s="61" t="s">
        <v>74</v>
      </c>
      <c r="B10" s="62"/>
      <c r="C10" s="62"/>
      <c r="D10" s="62"/>
      <c r="E10" s="62"/>
      <c r="F10" s="62"/>
      <c r="G10" s="62"/>
      <c r="H10" s="62"/>
      <c r="I10" s="62"/>
      <c r="J10" s="62"/>
      <c r="K10" s="62"/>
      <c r="L10" s="62"/>
      <c r="M10" s="62"/>
      <c r="N10" s="62"/>
      <c r="O10" s="62">
        <v>-489089</v>
      </c>
      <c r="P10" s="62">
        <v>-759383</v>
      </c>
      <c r="Q10" s="62">
        <v>-1097612</v>
      </c>
      <c r="R10" s="62">
        <v>-259544</v>
      </c>
      <c r="S10" s="62">
        <v>-519442</v>
      </c>
      <c r="T10" s="62">
        <v>-809950</v>
      </c>
      <c r="U10" s="62">
        <v>-1153504</v>
      </c>
      <c r="V10" s="62">
        <v>-305658</v>
      </c>
      <c r="W10" s="62">
        <v>-679530</v>
      </c>
      <c r="X10" s="62">
        <v>-1173939</v>
      </c>
      <c r="Y10" s="62">
        <v>-1693927</v>
      </c>
      <c r="Z10" s="62">
        <v>-452503</v>
      </c>
      <c r="AA10" s="62">
        <v>-908685</v>
      </c>
      <c r="AB10" s="62">
        <v>-1332715</v>
      </c>
      <c r="AC10" s="62">
        <v>-1761664</v>
      </c>
      <c r="AD10" s="62">
        <v>-412985</v>
      </c>
      <c r="AE10" s="62">
        <v>-784691</v>
      </c>
      <c r="AF10" s="62">
        <v>-1133049</v>
      </c>
      <c r="AG10" s="62">
        <v>-1475589</v>
      </c>
      <c r="AH10" s="62">
        <v>-344818</v>
      </c>
      <c r="AI10" s="62">
        <v>-689343</v>
      </c>
      <c r="AJ10" s="62">
        <v>-1094017</v>
      </c>
      <c r="AK10" s="62">
        <v>-1453508</v>
      </c>
      <c r="AL10" s="62"/>
      <c r="AM10" s="62"/>
      <c r="AN10" s="62"/>
      <c r="AO10" s="62"/>
      <c r="AP10" s="62"/>
      <c r="AQ10" s="62">
        <f>Q10</f>
        <v>-1097612</v>
      </c>
      <c r="AR10" s="62">
        <f>U10</f>
        <v>-1153504</v>
      </c>
      <c r="AS10" s="62">
        <f>Y10</f>
        <v>-1693927</v>
      </c>
      <c r="AT10" s="62">
        <f>AC10</f>
        <v>-1761664</v>
      </c>
      <c r="AU10" s="62">
        <f>AG10</f>
        <v>-1475589</v>
      </c>
      <c r="AV10" s="62">
        <f>AK10</f>
        <v>-1453508</v>
      </c>
    </row>
    <row r="11" spans="1:48" s="50" customFormat="1" x14ac:dyDescent="0.2">
      <c r="A11" s="63" t="s">
        <v>75</v>
      </c>
      <c r="B11" s="64">
        <v>-35177</v>
      </c>
      <c r="C11" s="64">
        <v>-85987</v>
      </c>
      <c r="D11" s="64">
        <v>-129312</v>
      </c>
      <c r="E11" s="64">
        <v>-188648</v>
      </c>
      <c r="F11" s="64">
        <v>-63191</v>
      </c>
      <c r="G11" s="64">
        <v>-106623</v>
      </c>
      <c r="H11" s="64">
        <v>-158550</v>
      </c>
      <c r="I11" s="64">
        <v>-214836</v>
      </c>
      <c r="J11" s="64">
        <v>-79923</v>
      </c>
      <c r="K11" s="64">
        <v>-171191</v>
      </c>
      <c r="L11" s="65">
        <v>-308521</v>
      </c>
      <c r="M11" s="65">
        <v>-366664</v>
      </c>
      <c r="N11" s="65">
        <v>-89810</v>
      </c>
      <c r="O11" s="64">
        <v>-165486</v>
      </c>
      <c r="P11" s="64">
        <v>-233276</v>
      </c>
      <c r="Q11" s="64">
        <v>-297246</v>
      </c>
      <c r="R11" s="64">
        <v>-66473</v>
      </c>
      <c r="S11" s="64">
        <v>-128343</v>
      </c>
      <c r="T11" s="64">
        <v>-202626</v>
      </c>
      <c r="U11" s="64">
        <v>-263146</v>
      </c>
      <c r="V11" s="64">
        <v>-85084</v>
      </c>
      <c r="W11" s="64">
        <v>-181094</v>
      </c>
      <c r="X11" s="64">
        <v>-365567</v>
      </c>
      <c r="Y11" s="64">
        <v>-556169</v>
      </c>
      <c r="Z11" s="64">
        <v>-136023</v>
      </c>
      <c r="AA11" s="64">
        <v>-236520</v>
      </c>
      <c r="AB11" s="64">
        <v>-335057</v>
      </c>
      <c r="AC11" s="64">
        <v>-448268</v>
      </c>
      <c r="AD11" s="64">
        <v>-119625</v>
      </c>
      <c r="AE11" s="64">
        <v>-231441</v>
      </c>
      <c r="AF11" s="64">
        <v>-339308</v>
      </c>
      <c r="AG11" s="64">
        <v>-424185</v>
      </c>
      <c r="AH11" s="64">
        <v>-92474</v>
      </c>
      <c r="AI11" s="64">
        <v>-176792</v>
      </c>
      <c r="AJ11" s="64">
        <v>-256848</v>
      </c>
      <c r="AK11" s="64">
        <v>-346255</v>
      </c>
      <c r="AL11" s="64"/>
      <c r="AM11" s="64">
        <v>-101351</v>
      </c>
      <c r="AN11" s="64">
        <v>-188648</v>
      </c>
      <c r="AO11" s="64">
        <v>-214836</v>
      </c>
      <c r="AP11" s="64">
        <v>-366664</v>
      </c>
      <c r="AQ11" s="64">
        <f>Q11</f>
        <v>-297246</v>
      </c>
      <c r="AR11" s="64">
        <f>U11</f>
        <v>-263146</v>
      </c>
      <c r="AS11" s="64">
        <f>Y11</f>
        <v>-556169</v>
      </c>
      <c r="AT11" s="64">
        <f>AC11</f>
        <v>-448268</v>
      </c>
      <c r="AU11" s="64">
        <f>AG11</f>
        <v>-424185</v>
      </c>
      <c r="AV11" s="64">
        <f>AK11</f>
        <v>-346255</v>
      </c>
    </row>
    <row r="12" spans="1:48" x14ac:dyDescent="0.2">
      <c r="A12" s="63" t="s">
        <v>76</v>
      </c>
      <c r="B12" s="64">
        <v>-16155</v>
      </c>
      <c r="C12" s="64">
        <v>-117642</v>
      </c>
      <c r="D12" s="64">
        <v>-207735</v>
      </c>
      <c r="E12" s="64">
        <v>-325361</v>
      </c>
      <c r="F12" s="64">
        <v>-93699</v>
      </c>
      <c r="G12" s="64">
        <v>-211848</v>
      </c>
      <c r="H12" s="64">
        <v>-318006</v>
      </c>
      <c r="I12" s="64">
        <v>-442657</v>
      </c>
      <c r="J12" s="64">
        <v>-151416</v>
      </c>
      <c r="K12" s="64">
        <v>-343663</v>
      </c>
      <c r="L12" s="65">
        <v>-575130</v>
      </c>
      <c r="M12" s="65">
        <v>-734489</v>
      </c>
      <c r="N12" s="65">
        <v>-110849</v>
      </c>
      <c r="O12" s="64">
        <v>-274705</v>
      </c>
      <c r="P12" s="64">
        <v>-450344</v>
      </c>
      <c r="Q12" s="64">
        <v>-654628</v>
      </c>
      <c r="R12" s="64">
        <v>-161348</v>
      </c>
      <c r="S12" s="64">
        <v>-330492</v>
      </c>
      <c r="T12" s="64">
        <v>-517319</v>
      </c>
      <c r="U12" s="64">
        <v>-708868</v>
      </c>
      <c r="V12" s="64">
        <v>-186446</v>
      </c>
      <c r="W12" s="64">
        <v>-427248</v>
      </c>
      <c r="X12" s="64">
        <v>-690591</v>
      </c>
      <c r="Y12" s="64">
        <v>-972685</v>
      </c>
      <c r="Z12" s="64">
        <v>-280086</v>
      </c>
      <c r="AA12" s="64">
        <v>-591641</v>
      </c>
      <c r="AB12" s="64">
        <v>-870643</v>
      </c>
      <c r="AC12" s="64">
        <v>-1143610</v>
      </c>
      <c r="AD12" s="64">
        <v>-257166</v>
      </c>
      <c r="AE12" s="64">
        <v>-484356</v>
      </c>
      <c r="AF12" s="64">
        <v>-696447</v>
      </c>
      <c r="AG12" s="64">
        <v>-917270</v>
      </c>
      <c r="AH12" s="64">
        <v>-212106</v>
      </c>
      <c r="AI12" s="64">
        <v>-437389</v>
      </c>
      <c r="AJ12" s="64">
        <v>-644036</v>
      </c>
      <c r="AK12" s="64">
        <v>-856758</v>
      </c>
      <c r="AL12" s="64"/>
      <c r="AM12" s="64">
        <v>-62371</v>
      </c>
      <c r="AN12" s="64">
        <v>-325361</v>
      </c>
      <c r="AO12" s="64">
        <v>-442657</v>
      </c>
      <c r="AP12" s="64">
        <v>-734489</v>
      </c>
      <c r="AQ12" s="64">
        <f>Q12</f>
        <v>-654628</v>
      </c>
      <c r="AR12" s="64">
        <f>U12</f>
        <v>-708868</v>
      </c>
      <c r="AS12" s="64">
        <f>Y12</f>
        <v>-972685</v>
      </c>
      <c r="AT12" s="64">
        <f>AC12</f>
        <v>-1143610</v>
      </c>
      <c r="AU12" s="64">
        <f>AG12</f>
        <v>-917270</v>
      </c>
      <c r="AV12" s="64">
        <f>AK12</f>
        <v>-856758</v>
      </c>
    </row>
    <row r="13" spans="1:48" x14ac:dyDescent="0.2">
      <c r="A13" s="63" t="s">
        <v>77</v>
      </c>
      <c r="B13" s="64">
        <v>-10398</v>
      </c>
      <c r="C13" s="64">
        <v>-21658</v>
      </c>
      <c r="D13" s="64">
        <v>-33694</v>
      </c>
      <c r="E13" s="64">
        <v>-57215</v>
      </c>
      <c r="F13" s="64">
        <v>-14318</v>
      </c>
      <c r="G13" s="64">
        <v>-39582</v>
      </c>
      <c r="H13" s="64">
        <v>-58997</v>
      </c>
      <c r="I13" s="64">
        <v>-79977</v>
      </c>
      <c r="J13" s="64">
        <v>-31230</v>
      </c>
      <c r="K13" s="64">
        <v>-64626</v>
      </c>
      <c r="L13" s="65">
        <v>-88348</v>
      </c>
      <c r="M13" s="65">
        <v>-100025</v>
      </c>
      <c r="N13" s="65">
        <v>-22562</v>
      </c>
      <c r="O13" s="64">
        <v>-48898</v>
      </c>
      <c r="P13" s="64">
        <v>-75763</v>
      </c>
      <c r="Q13" s="64">
        <v>-102076</v>
      </c>
      <c r="R13" s="64">
        <v>-31723</v>
      </c>
      <c r="S13" s="64">
        <v>-60607</v>
      </c>
      <c r="T13" s="64">
        <v>-90005</v>
      </c>
      <c r="U13" s="64">
        <v>-123311</v>
      </c>
      <c r="V13" s="64">
        <v>-34128</v>
      </c>
      <c r="W13" s="64">
        <v>-71188</v>
      </c>
      <c r="X13" s="64">
        <v>-117781</v>
      </c>
      <c r="Y13" s="64">
        <v>-165073</v>
      </c>
      <c r="Z13" s="64">
        <v>-36394</v>
      </c>
      <c r="AA13" s="64">
        <v>-80524</v>
      </c>
      <c r="AB13" s="64">
        <v>-127015</v>
      </c>
      <c r="AC13" s="64">
        <v>-169786</v>
      </c>
      <c r="AD13" s="64">
        <v>-36194</v>
      </c>
      <c r="AE13" s="64">
        <v>-68894</v>
      </c>
      <c r="AF13" s="64">
        <v>-97294</v>
      </c>
      <c r="AG13" s="64">
        <v>-134134</v>
      </c>
      <c r="AH13" s="64">
        <v>-40238</v>
      </c>
      <c r="AI13" s="64">
        <v>-75162</v>
      </c>
      <c r="AJ13" s="64">
        <v>-110498</v>
      </c>
      <c r="AK13" s="64">
        <v>-136738</v>
      </c>
      <c r="AL13" s="64"/>
      <c r="AM13" s="64">
        <v>-36356</v>
      </c>
      <c r="AN13" s="64">
        <v>-57215</v>
      </c>
      <c r="AO13" s="64">
        <v>-79977</v>
      </c>
      <c r="AP13" s="64">
        <v>-100025</v>
      </c>
      <c r="AQ13" s="64">
        <f>Q13</f>
        <v>-102076</v>
      </c>
      <c r="AR13" s="64">
        <f>U13</f>
        <v>-123311</v>
      </c>
      <c r="AS13" s="64">
        <f>Y13</f>
        <v>-165073</v>
      </c>
      <c r="AT13" s="64">
        <f>AC13</f>
        <v>-169786</v>
      </c>
      <c r="AU13" s="64">
        <f>AG13</f>
        <v>-134134</v>
      </c>
      <c r="AV13" s="64">
        <f>AK13</f>
        <v>-136738</v>
      </c>
    </row>
    <row r="14" spans="1:48" x14ac:dyDescent="0.2">
      <c r="A14" s="63" t="s">
        <v>40</v>
      </c>
      <c r="B14" s="64"/>
      <c r="C14" s="64"/>
      <c r="D14" s="64"/>
      <c r="E14" s="64">
        <v>-136916</v>
      </c>
      <c r="F14" s="64"/>
      <c r="G14" s="64"/>
      <c r="H14" s="64"/>
      <c r="I14" s="64"/>
      <c r="J14" s="64"/>
      <c r="K14" s="64"/>
      <c r="L14" s="65"/>
      <c r="M14" s="65">
        <v>-128389</v>
      </c>
      <c r="N14" s="65"/>
      <c r="O14" s="64"/>
      <c r="P14" s="64"/>
      <c r="Q14" s="64">
        <v>-43662</v>
      </c>
      <c r="R14" s="64"/>
      <c r="S14" s="64"/>
      <c r="T14" s="64"/>
      <c r="U14" s="64">
        <v>-58179</v>
      </c>
      <c r="V14" s="64"/>
      <c r="W14" s="64"/>
      <c r="X14" s="64"/>
      <c r="Y14" s="64"/>
      <c r="Z14" s="64"/>
      <c r="AA14" s="64"/>
      <c r="AB14" s="64"/>
      <c r="AC14" s="64"/>
      <c r="AD14" s="64"/>
      <c r="AE14" s="64"/>
      <c r="AF14" s="64"/>
      <c r="AG14" s="64"/>
      <c r="AH14" s="64"/>
      <c r="AI14" s="64"/>
      <c r="AJ14" s="64">
        <v>-82635</v>
      </c>
      <c r="AK14" s="64">
        <v>-113757</v>
      </c>
      <c r="AL14" s="64"/>
      <c r="AM14" s="64"/>
      <c r="AN14" s="64">
        <v>-136916</v>
      </c>
      <c r="AO14" s="64"/>
      <c r="AP14" s="64">
        <v>-128389</v>
      </c>
      <c r="AQ14" s="64">
        <f>Q14</f>
        <v>-43662</v>
      </c>
      <c r="AR14" s="64">
        <f>U14</f>
        <v>-58179</v>
      </c>
      <c r="AS14" s="64"/>
      <c r="AT14" s="64"/>
      <c r="AU14" s="64"/>
      <c r="AV14" s="64">
        <f>AK14</f>
        <v>-113757</v>
      </c>
    </row>
    <row r="15" spans="1:48" x14ac:dyDescent="0.2">
      <c r="A15" s="63" t="s">
        <v>41</v>
      </c>
      <c r="B15" s="64"/>
      <c r="C15" s="64"/>
      <c r="D15" s="64"/>
      <c r="E15" s="64">
        <v>-19765</v>
      </c>
      <c r="F15" s="64">
        <v>-6019</v>
      </c>
      <c r="G15" s="64">
        <v>-6070</v>
      </c>
      <c r="H15" s="64">
        <v>-6115</v>
      </c>
      <c r="I15" s="64">
        <v>-6190</v>
      </c>
      <c r="J15" s="64"/>
      <c r="K15" s="64"/>
      <c r="L15" s="65"/>
      <c r="M15" s="65"/>
      <c r="N15" s="65"/>
      <c r="O15" s="64"/>
      <c r="P15" s="64"/>
      <c r="AL15" s="64"/>
      <c r="AM15" s="64"/>
      <c r="AN15" s="64">
        <v>-19765</v>
      </c>
      <c r="AO15" s="64">
        <v>-6190</v>
      </c>
      <c r="AP15" s="64"/>
      <c r="AQ15" s="64"/>
    </row>
    <row r="16" spans="1:48" ht="5.25" customHeight="1" x14ac:dyDescent="0.2">
      <c r="A16" s="67"/>
      <c r="B16" s="68"/>
      <c r="C16" s="68"/>
      <c r="D16" s="68"/>
      <c r="E16" s="68"/>
      <c r="F16" s="68"/>
      <c r="G16" s="68"/>
      <c r="H16" s="68"/>
      <c r="I16" s="68"/>
      <c r="J16" s="68"/>
      <c r="K16" s="68"/>
      <c r="L16" s="65"/>
      <c r="M16" s="65"/>
      <c r="N16" s="65"/>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row>
    <row r="17" spans="1:48" x14ac:dyDescent="0.2">
      <c r="A17" s="69" t="s">
        <v>3</v>
      </c>
      <c r="B17" s="70">
        <v>376409</v>
      </c>
      <c r="C17" s="70">
        <v>921731</v>
      </c>
      <c r="D17" s="70">
        <v>1676045</v>
      </c>
      <c r="E17" s="70">
        <v>2243345</v>
      </c>
      <c r="F17" s="70">
        <v>640146</v>
      </c>
      <c r="G17" s="70">
        <v>1384125</v>
      </c>
      <c r="H17" s="70">
        <v>2181521</v>
      </c>
      <c r="I17" s="70">
        <v>2998371</v>
      </c>
      <c r="J17" s="70">
        <v>776412</v>
      </c>
      <c r="K17" s="70">
        <v>2069716</v>
      </c>
      <c r="L17" s="60">
        <v>3780429</v>
      </c>
      <c r="M17" s="60">
        <v>4061320</v>
      </c>
      <c r="N17" s="60">
        <v>99091</v>
      </c>
      <c r="O17" s="70">
        <v>204561</v>
      </c>
      <c r="P17" s="70">
        <v>544546</v>
      </c>
      <c r="Q17" s="70">
        <v>891921</v>
      </c>
      <c r="R17" s="70">
        <v>264460</v>
      </c>
      <c r="S17" s="70">
        <v>891149</v>
      </c>
      <c r="T17" s="70">
        <v>1460438</v>
      </c>
      <c r="U17" s="70">
        <v>1794590</v>
      </c>
      <c r="V17" s="70">
        <v>463409</v>
      </c>
      <c r="W17" s="70">
        <v>1152516</v>
      </c>
      <c r="X17" s="70">
        <v>1423472</v>
      </c>
      <c r="Y17" s="70">
        <v>1665679</v>
      </c>
      <c r="Z17" s="70">
        <v>255071</v>
      </c>
      <c r="AA17" s="70">
        <v>680016</v>
      </c>
      <c r="AB17" s="70">
        <v>941812</v>
      </c>
      <c r="AC17" s="70">
        <v>1132775</v>
      </c>
      <c r="AD17" s="70">
        <v>110833</v>
      </c>
      <c r="AE17" s="70">
        <v>290827</v>
      </c>
      <c r="AF17" s="70">
        <v>439839</v>
      </c>
      <c r="AG17" s="70">
        <v>643816</v>
      </c>
      <c r="AH17" s="70">
        <v>268953</v>
      </c>
      <c r="AI17" s="70">
        <v>651166</v>
      </c>
      <c r="AJ17" s="70">
        <v>1053202</v>
      </c>
      <c r="AK17" s="70">
        <v>1483991</v>
      </c>
      <c r="AL17" s="70"/>
      <c r="AM17" s="70">
        <v>1844024</v>
      </c>
      <c r="AN17" s="70">
        <v>2243345</v>
      </c>
      <c r="AO17" s="70">
        <v>2998371</v>
      </c>
      <c r="AP17" s="70">
        <v>4061320</v>
      </c>
      <c r="AQ17" s="70">
        <f>Q17</f>
        <v>891921</v>
      </c>
      <c r="AR17" s="70">
        <f>U17</f>
        <v>1794590</v>
      </c>
      <c r="AS17" s="70">
        <f>Y17</f>
        <v>1665679</v>
      </c>
      <c r="AT17" s="70">
        <f>AC17</f>
        <v>1132775</v>
      </c>
      <c r="AU17" s="70">
        <f>AG17</f>
        <v>643816</v>
      </c>
      <c r="AV17" s="70">
        <f>AK17</f>
        <v>1483991</v>
      </c>
    </row>
    <row r="18" spans="1:48" x14ac:dyDescent="0.2">
      <c r="A18" s="71"/>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row>
    <row r="19" spans="1:48" ht="5.25" customHeight="1" x14ac:dyDescent="0.2">
      <c r="A19" s="61"/>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row>
    <row r="20" spans="1:48" x14ac:dyDescent="0.2">
      <c r="A20" s="61" t="s">
        <v>78</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row>
    <row r="21" spans="1:48" x14ac:dyDescent="0.2">
      <c r="A21" s="63" t="s">
        <v>35</v>
      </c>
      <c r="B21" s="64">
        <v>-1492</v>
      </c>
      <c r="C21" s="64">
        <v>-2719</v>
      </c>
      <c r="D21" s="64">
        <v>-4763</v>
      </c>
      <c r="E21" s="64">
        <v>-3582</v>
      </c>
      <c r="F21" s="64">
        <v>-12609</v>
      </c>
      <c r="G21" s="64">
        <v>-19791</v>
      </c>
      <c r="H21" s="64">
        <v>-24575</v>
      </c>
      <c r="I21" s="64">
        <v>-27285</v>
      </c>
      <c r="J21" s="64">
        <v>6097</v>
      </c>
      <c r="K21" s="64">
        <v>-580</v>
      </c>
      <c r="L21" s="65">
        <v>-18556</v>
      </c>
      <c r="M21" s="65">
        <v>-9594</v>
      </c>
      <c r="N21" s="65">
        <v>-2104</v>
      </c>
      <c r="O21" s="64">
        <v>-8059</v>
      </c>
      <c r="P21" s="64">
        <v>-13132</v>
      </c>
      <c r="Q21" s="64">
        <v>-4420</v>
      </c>
      <c r="R21" s="64">
        <v>-1927</v>
      </c>
      <c r="S21" s="64">
        <v>-13609</v>
      </c>
      <c r="T21" s="64">
        <v>-17919</v>
      </c>
      <c r="U21" s="64">
        <v>-9657</v>
      </c>
      <c r="V21" s="64">
        <v>-5867</v>
      </c>
      <c r="W21" s="64">
        <v>-22239</v>
      </c>
      <c r="X21" s="64">
        <v>-23234</v>
      </c>
      <c r="Y21" s="64">
        <v>-29293</v>
      </c>
      <c r="Z21" s="64">
        <v>-116</v>
      </c>
      <c r="AA21" s="64">
        <v>-37461</v>
      </c>
      <c r="AB21" s="64">
        <v>-37566</v>
      </c>
      <c r="AC21" s="64">
        <v>-38051</v>
      </c>
      <c r="AD21" s="64">
        <v>-1517</v>
      </c>
      <c r="AE21" s="64">
        <v>-5623</v>
      </c>
      <c r="AF21" s="64">
        <v>-16888</v>
      </c>
      <c r="AG21" s="64">
        <v>-22413</v>
      </c>
      <c r="AH21" s="64">
        <v>-477</v>
      </c>
      <c r="AI21" s="64">
        <v>-3794</v>
      </c>
      <c r="AJ21" s="64">
        <v>-12268</v>
      </c>
      <c r="AK21" s="64">
        <v>-2943</v>
      </c>
      <c r="AL21" s="64"/>
      <c r="AM21" s="64">
        <v>-11579</v>
      </c>
      <c r="AN21" s="64">
        <v>-3582</v>
      </c>
      <c r="AO21" s="64">
        <v>-27285</v>
      </c>
      <c r="AP21" s="64">
        <v>-9594</v>
      </c>
      <c r="AQ21" s="64">
        <f>Q21</f>
        <v>-4420</v>
      </c>
      <c r="AR21" s="64">
        <f>U21</f>
        <v>-9657</v>
      </c>
      <c r="AS21" s="64">
        <f>Y21</f>
        <v>-29293</v>
      </c>
      <c r="AT21" s="64">
        <f>AC21</f>
        <v>-38051</v>
      </c>
      <c r="AU21" s="64">
        <f>AG21</f>
        <v>-22413</v>
      </c>
      <c r="AV21" s="64">
        <f>AK21</f>
        <v>-2943</v>
      </c>
    </row>
    <row r="22" spans="1:48" x14ac:dyDescent="0.2">
      <c r="A22" s="63" t="s">
        <v>79</v>
      </c>
      <c r="B22" s="64">
        <v>383759</v>
      </c>
      <c r="C22" s="64">
        <v>390463</v>
      </c>
      <c r="D22" s="64">
        <v>395341</v>
      </c>
      <c r="E22" s="64">
        <v>400696</v>
      </c>
      <c r="F22" s="64">
        <v>-1492</v>
      </c>
      <c r="G22" s="64">
        <v>-3442</v>
      </c>
      <c r="H22" s="64">
        <v>-3542</v>
      </c>
      <c r="I22" s="64">
        <v>-23522</v>
      </c>
      <c r="J22" s="64">
        <v>6421</v>
      </c>
      <c r="K22" s="64">
        <v>3948</v>
      </c>
      <c r="L22" s="65">
        <v>25243</v>
      </c>
      <c r="M22" s="65">
        <v>-21319</v>
      </c>
      <c r="N22" s="65">
        <v>-1472</v>
      </c>
      <c r="O22" s="64">
        <v>-1580</v>
      </c>
      <c r="P22" s="64">
        <v>-1862</v>
      </c>
      <c r="Q22" s="64">
        <v>-10903</v>
      </c>
      <c r="R22" s="64">
        <v>-1312</v>
      </c>
      <c r="S22" s="64">
        <v>-7888</v>
      </c>
      <c r="T22" s="64">
        <v>-10384</v>
      </c>
      <c r="U22" s="64">
        <v>-27991</v>
      </c>
      <c r="V22" s="64">
        <v>-3330</v>
      </c>
      <c r="W22" s="64">
        <v>-13288</v>
      </c>
      <c r="X22" s="64">
        <v>68981</v>
      </c>
      <c r="Y22" s="64">
        <v>11922</v>
      </c>
      <c r="Z22" s="64">
        <v>173</v>
      </c>
      <c r="AA22" s="64">
        <v>-946</v>
      </c>
      <c r="AB22" s="64">
        <v>-159</v>
      </c>
      <c r="AC22" s="64">
        <v>-2828</v>
      </c>
      <c r="AD22" s="64">
        <v>-735</v>
      </c>
      <c r="AE22" s="64">
        <v>-3535</v>
      </c>
      <c r="AF22" s="64">
        <v>22958</v>
      </c>
      <c r="AG22" s="64">
        <v>21124</v>
      </c>
      <c r="AH22" s="64">
        <v>-249</v>
      </c>
      <c r="AI22" s="64">
        <v>3655</v>
      </c>
      <c r="AJ22" s="64">
        <v>41265</v>
      </c>
      <c r="AK22" s="64">
        <v>37404</v>
      </c>
      <c r="AL22" s="64"/>
      <c r="AM22" s="64">
        <v>2771</v>
      </c>
      <c r="AN22" s="64">
        <v>400696</v>
      </c>
      <c r="AO22" s="64">
        <v>-23522</v>
      </c>
      <c r="AP22" s="64">
        <v>-21319</v>
      </c>
      <c r="AQ22" s="64">
        <f>Q22</f>
        <v>-10903</v>
      </c>
      <c r="AR22" s="64">
        <f>U22</f>
        <v>-27991</v>
      </c>
      <c r="AS22" s="64">
        <f>Y22</f>
        <v>11922</v>
      </c>
      <c r="AT22" s="64">
        <f>AC22</f>
        <v>-2828</v>
      </c>
      <c r="AU22" s="64">
        <f>AG22</f>
        <v>21124</v>
      </c>
      <c r="AV22" s="64">
        <f>AK22</f>
        <v>37404</v>
      </c>
    </row>
    <row r="23" spans="1:48" x14ac:dyDescent="0.2">
      <c r="A23" s="63" t="s">
        <v>80</v>
      </c>
      <c r="B23" s="64">
        <v>29300</v>
      </c>
      <c r="C23" s="64">
        <v>58672</v>
      </c>
      <c r="D23" s="64">
        <v>82711</v>
      </c>
      <c r="E23" s="64">
        <v>111789</v>
      </c>
      <c r="F23" s="64">
        <v>25029</v>
      </c>
      <c r="G23" s="64">
        <v>44778</v>
      </c>
      <c r="H23" s="64">
        <v>68241</v>
      </c>
      <c r="I23" s="64">
        <v>99751</v>
      </c>
      <c r="J23" s="64">
        <v>32578</v>
      </c>
      <c r="K23" s="64">
        <v>45369</v>
      </c>
      <c r="L23" s="65">
        <v>70047</v>
      </c>
      <c r="M23" s="65">
        <v>100238</v>
      </c>
      <c r="N23" s="65">
        <v>17897</v>
      </c>
      <c r="O23" s="64">
        <v>34637</v>
      </c>
      <c r="P23" s="64">
        <v>53092</v>
      </c>
      <c r="Q23" s="64">
        <v>59733</v>
      </c>
      <c r="R23" s="64">
        <v>11470</v>
      </c>
      <c r="S23" s="64">
        <v>21218</v>
      </c>
      <c r="T23" s="64">
        <v>34313</v>
      </c>
      <c r="U23" s="64">
        <v>45071</v>
      </c>
      <c r="V23" s="64">
        <v>9479</v>
      </c>
      <c r="W23" s="64">
        <v>18836</v>
      </c>
      <c r="X23" s="64">
        <v>19852</v>
      </c>
      <c r="Y23" s="64">
        <v>29531</v>
      </c>
      <c r="Z23" s="64">
        <v>6374</v>
      </c>
      <c r="AA23" s="64">
        <v>12350</v>
      </c>
      <c r="AB23" s="64">
        <v>18468</v>
      </c>
      <c r="AC23" s="64">
        <v>28581</v>
      </c>
      <c r="AD23" s="64">
        <v>10040</v>
      </c>
      <c r="AE23" s="64">
        <v>21964</v>
      </c>
      <c r="AF23" s="64">
        <v>32063</v>
      </c>
      <c r="AG23" s="64">
        <v>40241</v>
      </c>
      <c r="AH23" s="64">
        <v>6927</v>
      </c>
      <c r="AI23" s="64">
        <v>15585</v>
      </c>
      <c r="AJ23" s="64">
        <v>26272</v>
      </c>
      <c r="AK23" s="64">
        <v>36494</v>
      </c>
      <c r="AL23" s="64"/>
      <c r="AM23" s="64">
        <v>98708</v>
      </c>
      <c r="AN23" s="64">
        <v>111789</v>
      </c>
      <c r="AO23" s="64">
        <v>99751</v>
      </c>
      <c r="AP23" s="64">
        <v>100238</v>
      </c>
      <c r="AQ23" s="64">
        <f>Q23</f>
        <v>59733</v>
      </c>
      <c r="AR23" s="64">
        <f>U23</f>
        <v>45071</v>
      </c>
      <c r="AS23" s="64">
        <f>Y23</f>
        <v>29531</v>
      </c>
      <c r="AT23" s="64">
        <f>AC23</f>
        <v>28581</v>
      </c>
      <c r="AU23" s="64">
        <f>AG23</f>
        <v>40241</v>
      </c>
      <c r="AV23" s="64">
        <f>AK23</f>
        <v>36494</v>
      </c>
    </row>
    <row r="24" spans="1:48" x14ac:dyDescent="0.2">
      <c r="A24" s="63" t="s">
        <v>81</v>
      </c>
      <c r="B24" s="64">
        <v>-4541</v>
      </c>
      <c r="C24" s="64">
        <v>-10626</v>
      </c>
      <c r="D24" s="64">
        <v>-19379</v>
      </c>
      <c r="E24" s="64">
        <v>-29692</v>
      </c>
      <c r="F24" s="64">
        <v>-8404</v>
      </c>
      <c r="G24" s="64">
        <v>-12127</v>
      </c>
      <c r="H24" s="64">
        <v>-14840</v>
      </c>
      <c r="I24" s="64">
        <v>-31417</v>
      </c>
      <c r="J24" s="64">
        <v>-55466</v>
      </c>
      <c r="K24" s="64">
        <v>-110379</v>
      </c>
      <c r="L24" s="65">
        <v>-136494</v>
      </c>
      <c r="M24" s="65">
        <v>-217270</v>
      </c>
      <c r="N24" s="65">
        <v>-53968</v>
      </c>
      <c r="O24" s="64">
        <v>-101376</v>
      </c>
      <c r="P24" s="64">
        <v>-131886</v>
      </c>
      <c r="Q24" s="64">
        <v>-170905</v>
      </c>
      <c r="R24" s="64">
        <v>-7826</v>
      </c>
      <c r="S24" s="64">
        <v>-9147</v>
      </c>
      <c r="T24" s="64">
        <v>-23871</v>
      </c>
      <c r="U24" s="64">
        <v>-15865</v>
      </c>
      <c r="V24" s="64"/>
      <c r="W24" s="64"/>
      <c r="X24" s="64"/>
      <c r="Y24" s="64"/>
      <c r="Z24" s="64">
        <v>-341</v>
      </c>
      <c r="AA24" s="64">
        <v>-14293</v>
      </c>
      <c r="AB24" s="64">
        <v>-37959</v>
      </c>
      <c r="AC24" s="64">
        <v>-68462</v>
      </c>
      <c r="AD24" s="64">
        <v>-30768</v>
      </c>
      <c r="AE24" s="64">
        <v>-58041</v>
      </c>
      <c r="AF24" s="64">
        <v>-80380</v>
      </c>
      <c r="AG24" s="64">
        <v>-113869</v>
      </c>
      <c r="AH24" s="64">
        <v>-32145</v>
      </c>
      <c r="AI24" s="64">
        <v>-65264</v>
      </c>
      <c r="AJ24" s="64">
        <v>-99194</v>
      </c>
      <c r="AK24" s="64">
        <v>-126820</v>
      </c>
      <c r="AL24" s="64"/>
      <c r="AM24" s="64">
        <v>-15377</v>
      </c>
      <c r="AN24" s="64">
        <v>-29692</v>
      </c>
      <c r="AO24" s="64">
        <v>-31417</v>
      </c>
      <c r="AP24" s="64">
        <v>-217270</v>
      </c>
      <c r="AQ24" s="64">
        <f>Q24</f>
        <v>-170905</v>
      </c>
      <c r="AR24" s="64">
        <f>U24</f>
        <v>-15865</v>
      </c>
      <c r="AS24" s="64"/>
      <c r="AT24" s="64">
        <f>AC24</f>
        <v>-68462</v>
      </c>
      <c r="AU24" s="64">
        <f>AG24</f>
        <v>-113869</v>
      </c>
      <c r="AV24" s="64">
        <f>AK24</f>
        <v>-126820</v>
      </c>
    </row>
    <row r="25" spans="1:48" x14ac:dyDescent="0.2">
      <c r="A25" s="63" t="s">
        <v>82</v>
      </c>
      <c r="B25" s="64">
        <v>-56605</v>
      </c>
      <c r="C25" s="64">
        <v>-69779</v>
      </c>
      <c r="D25" s="64">
        <v>-71944</v>
      </c>
      <c r="E25" s="64">
        <v>-74975</v>
      </c>
      <c r="F25" s="64">
        <v>11832</v>
      </c>
      <c r="G25" s="64">
        <v>15325</v>
      </c>
      <c r="H25" s="64">
        <v>55889</v>
      </c>
      <c r="I25" s="64">
        <v>80495</v>
      </c>
      <c r="J25" s="64">
        <v>28958</v>
      </c>
      <c r="K25" s="64">
        <v>36449</v>
      </c>
      <c r="L25" s="65">
        <v>-29183</v>
      </c>
      <c r="M25" s="65">
        <v>-366984</v>
      </c>
      <c r="N25" s="65">
        <v>-113004</v>
      </c>
      <c r="O25" s="64">
        <v>-89515</v>
      </c>
      <c r="P25" s="64">
        <v>-77683</v>
      </c>
      <c r="Q25" s="64">
        <v>-78026</v>
      </c>
      <c r="R25" s="64">
        <v>-53381</v>
      </c>
      <c r="S25" s="64">
        <v>-134002</v>
      </c>
      <c r="T25" s="64">
        <v>-53615</v>
      </c>
      <c r="U25" s="64">
        <v>-59262</v>
      </c>
      <c r="V25" s="64">
        <v>23032</v>
      </c>
      <c r="W25" s="64">
        <v>31044</v>
      </c>
      <c r="X25" s="64">
        <v>44834</v>
      </c>
      <c r="Y25" s="64">
        <v>18662</v>
      </c>
      <c r="Z25" s="64">
        <v>20514</v>
      </c>
      <c r="AA25" s="64">
        <v>2472</v>
      </c>
      <c r="AB25" s="64">
        <v>-10792</v>
      </c>
      <c r="AC25" s="64">
        <v>3282</v>
      </c>
      <c r="AD25" s="64">
        <v>-26656</v>
      </c>
      <c r="AE25" s="64">
        <v>-31676</v>
      </c>
      <c r="AF25" s="64">
        <v>20647</v>
      </c>
      <c r="AG25" s="64">
        <v>37804</v>
      </c>
      <c r="AH25" s="64">
        <v>46215</v>
      </c>
      <c r="AI25" s="64">
        <v>-15928</v>
      </c>
      <c r="AJ25" s="64">
        <v>56589</v>
      </c>
      <c r="AK25" s="64">
        <v>417785</v>
      </c>
      <c r="AL25" s="64"/>
      <c r="AM25" s="64">
        <v>-9805</v>
      </c>
      <c r="AN25" s="64">
        <v>-74975</v>
      </c>
      <c r="AO25" s="64">
        <v>80495</v>
      </c>
      <c r="AP25" s="64">
        <v>-366984</v>
      </c>
      <c r="AQ25" s="64">
        <f>Q25</f>
        <v>-78026</v>
      </c>
      <c r="AR25" s="64">
        <f>U25</f>
        <v>-59262</v>
      </c>
      <c r="AS25" s="64">
        <f>Y25</f>
        <v>18662</v>
      </c>
      <c r="AT25" s="64">
        <f>AC25</f>
        <v>3282</v>
      </c>
      <c r="AU25" s="64">
        <f>AG25</f>
        <v>37804</v>
      </c>
      <c r="AV25" s="64">
        <f>AK25</f>
        <v>417785</v>
      </c>
    </row>
    <row r="26" spans="1:48" x14ac:dyDescent="0.2">
      <c r="A26" s="63" t="s">
        <v>83</v>
      </c>
      <c r="B26" s="64"/>
      <c r="C26" s="64"/>
      <c r="D26" s="64"/>
      <c r="E26" s="64"/>
      <c r="F26" s="64"/>
      <c r="G26" s="64">
        <v>81511</v>
      </c>
      <c r="H26" s="64">
        <v>82116</v>
      </c>
      <c r="I26" s="64">
        <v>83122</v>
      </c>
      <c r="J26" s="64"/>
      <c r="K26" s="64"/>
      <c r="L26" s="65"/>
      <c r="M26" s="65"/>
      <c r="N26" s="65"/>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v>83122</v>
      </c>
      <c r="AP26" s="64"/>
      <c r="AQ26" s="64"/>
      <c r="AR26" s="64"/>
      <c r="AS26" s="64"/>
      <c r="AT26" s="64"/>
      <c r="AU26" s="64"/>
      <c r="AV26" s="64"/>
    </row>
    <row r="27" spans="1:48" x14ac:dyDescent="0.2">
      <c r="A27" s="63" t="s">
        <v>84</v>
      </c>
      <c r="B27" s="64">
        <v>-2466</v>
      </c>
      <c r="C27" s="64">
        <v>-8858</v>
      </c>
      <c r="D27" s="64">
        <v>-11147</v>
      </c>
      <c r="E27" s="64">
        <v>-26526</v>
      </c>
      <c r="F27" s="64">
        <v>13261</v>
      </c>
      <c r="G27" s="64">
        <v>1682</v>
      </c>
      <c r="H27" s="64">
        <v>-3197</v>
      </c>
      <c r="I27" s="64">
        <v>-22688</v>
      </c>
      <c r="J27" s="64">
        <v>-32059</v>
      </c>
      <c r="K27" s="64">
        <v>-54099</v>
      </c>
      <c r="L27" s="65">
        <v>-38988</v>
      </c>
      <c r="M27" s="65">
        <v>-414694</v>
      </c>
      <c r="N27" s="65">
        <v>-56913</v>
      </c>
      <c r="O27" s="64">
        <v>-73617</v>
      </c>
      <c r="P27" s="64">
        <v>-72589</v>
      </c>
      <c r="Q27" s="64">
        <v>-92661</v>
      </c>
      <c r="R27" s="64">
        <v>-24714</v>
      </c>
      <c r="S27" s="64">
        <v>-6063</v>
      </c>
      <c r="T27" s="64">
        <v>13177</v>
      </c>
      <c r="U27" s="64">
        <v>-4598</v>
      </c>
      <c r="V27" s="64">
        <v>-14037</v>
      </c>
      <c r="W27" s="64">
        <v>3229</v>
      </c>
      <c r="X27" s="64">
        <v>3948</v>
      </c>
      <c r="Y27" s="64">
        <v>-14337</v>
      </c>
      <c r="Z27" s="64">
        <v>-31061</v>
      </c>
      <c r="AA27" s="64">
        <v>-32463</v>
      </c>
      <c r="AB27" s="64">
        <v>-34994</v>
      </c>
      <c r="AC27" s="64">
        <v>-140428</v>
      </c>
      <c r="AD27" s="64">
        <v>-8291</v>
      </c>
      <c r="AE27" s="64">
        <v>-18450</v>
      </c>
      <c r="AF27" s="64">
        <v>-25663</v>
      </c>
      <c r="AG27" s="64">
        <v>-123222</v>
      </c>
      <c r="AH27" s="64">
        <v>-6681</v>
      </c>
      <c r="AI27" s="64">
        <v>-18041</v>
      </c>
      <c r="AJ27" s="64">
        <v>-50464</v>
      </c>
      <c r="AK27" s="64">
        <v>-75426</v>
      </c>
      <c r="AL27" s="64"/>
      <c r="AM27" s="64">
        <v>-16468</v>
      </c>
      <c r="AN27" s="64">
        <v>-26526</v>
      </c>
      <c r="AO27" s="64">
        <v>-22688</v>
      </c>
      <c r="AP27" s="64">
        <v>-414694</v>
      </c>
      <c r="AQ27" s="64">
        <f>Q27</f>
        <v>-92661</v>
      </c>
      <c r="AR27" s="64">
        <f>U27</f>
        <v>-4598</v>
      </c>
      <c r="AS27" s="64">
        <f>Y27</f>
        <v>-14337</v>
      </c>
      <c r="AT27" s="64">
        <f>AC27</f>
        <v>-140428</v>
      </c>
      <c r="AU27" s="64">
        <f>AG27</f>
        <v>-123222</v>
      </c>
      <c r="AV27" s="64">
        <f>AK27</f>
        <v>-75426</v>
      </c>
    </row>
    <row r="28" spans="1:48" ht="5.25" customHeight="1" x14ac:dyDescent="0.2">
      <c r="A28" s="7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row>
    <row r="29" spans="1:48" x14ac:dyDescent="0.2">
      <c r="A29" s="72" t="s">
        <v>85</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row>
    <row r="30" spans="1:48" x14ac:dyDescent="0.2">
      <c r="A30" s="74" t="s">
        <v>86</v>
      </c>
      <c r="B30" s="75">
        <v>724364</v>
      </c>
      <c r="C30" s="75">
        <v>1278884</v>
      </c>
      <c r="D30" s="75">
        <v>2046864</v>
      </c>
      <c r="E30" s="75">
        <v>2621055</v>
      </c>
      <c r="F30" s="75">
        <v>667763</v>
      </c>
      <c r="G30" s="75">
        <v>1492061</v>
      </c>
      <c r="H30" s="75">
        <v>2341613</v>
      </c>
      <c r="I30" s="75">
        <v>3156827</v>
      </c>
      <c r="J30" s="75">
        <v>762941</v>
      </c>
      <c r="K30" s="75">
        <v>1990424</v>
      </c>
      <c r="L30" s="75">
        <v>3652498</v>
      </c>
      <c r="M30" s="75">
        <v>3131697</v>
      </c>
      <c r="N30" s="75">
        <v>-110473</v>
      </c>
      <c r="O30" s="75">
        <v>-34949</v>
      </c>
      <c r="P30" s="75">
        <v>300486</v>
      </c>
      <c r="Q30" s="75">
        <v>594739</v>
      </c>
      <c r="R30" s="75">
        <v>186770</v>
      </c>
      <c r="S30" s="75">
        <v>741658</v>
      </c>
      <c r="T30" s="75">
        <v>1402139</v>
      </c>
      <c r="U30" s="75">
        <v>1722288</v>
      </c>
      <c r="V30" s="75">
        <v>472686</v>
      </c>
      <c r="W30" s="75">
        <v>1170098</v>
      </c>
      <c r="X30" s="75">
        <v>1537853</v>
      </c>
      <c r="Y30" s="75">
        <v>1682164</v>
      </c>
      <c r="Z30" s="75">
        <v>250614</v>
      </c>
      <c r="AA30" s="75">
        <v>609675</v>
      </c>
      <c r="AB30" s="75">
        <v>838810</v>
      </c>
      <c r="AC30" s="75">
        <v>914869</v>
      </c>
      <c r="AD30" s="75">
        <v>52906</v>
      </c>
      <c r="AE30" s="75">
        <v>195466</v>
      </c>
      <c r="AF30" s="75">
        <v>392576</v>
      </c>
      <c r="AG30" s="75">
        <v>483481</v>
      </c>
      <c r="AH30" s="75">
        <v>282543</v>
      </c>
      <c r="AI30" s="75">
        <v>567379</v>
      </c>
      <c r="AJ30" s="75">
        <v>1015402</v>
      </c>
      <c r="AK30" s="75">
        <v>1770485</v>
      </c>
      <c r="AL30" s="75"/>
      <c r="AM30" s="75">
        <v>1892274</v>
      </c>
      <c r="AN30" s="75">
        <v>2621055</v>
      </c>
      <c r="AO30" s="75">
        <v>3156827</v>
      </c>
      <c r="AP30" s="75">
        <v>3131697</v>
      </c>
      <c r="AQ30" s="75">
        <f>Q30</f>
        <v>594739</v>
      </c>
      <c r="AR30" s="75">
        <f>U30</f>
        <v>1722288</v>
      </c>
      <c r="AS30" s="75">
        <f>Y30</f>
        <v>1682164</v>
      </c>
      <c r="AT30" s="75">
        <f>AC30</f>
        <v>914869</v>
      </c>
      <c r="AU30" s="75">
        <f>AG30</f>
        <v>483481</v>
      </c>
      <c r="AV30" s="75">
        <f>AK30</f>
        <v>1770485</v>
      </c>
    </row>
    <row r="31" spans="1:48" ht="5.25" customHeight="1" x14ac:dyDescent="0.2">
      <c r="A31" s="61"/>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row>
    <row r="32" spans="1:48" x14ac:dyDescent="0.2">
      <c r="A32" s="76" t="s">
        <v>87</v>
      </c>
      <c r="B32" s="64">
        <v>-176424</v>
      </c>
      <c r="C32" s="64">
        <v>-325970</v>
      </c>
      <c r="D32" s="64">
        <v>-522207</v>
      </c>
      <c r="E32" s="64">
        <v>-706605</v>
      </c>
      <c r="F32" s="64">
        <v>-216892</v>
      </c>
      <c r="G32" s="64">
        <v>-423979</v>
      </c>
      <c r="H32" s="64">
        <v>-641168</v>
      </c>
      <c r="I32" s="64">
        <v>-837003</v>
      </c>
      <c r="J32" s="64">
        <v>-128282</v>
      </c>
      <c r="K32" s="64">
        <v>-474960</v>
      </c>
      <c r="L32" s="65">
        <v>-853768</v>
      </c>
      <c r="M32" s="65">
        <v>-703474</v>
      </c>
      <c r="N32" s="65">
        <v>1439</v>
      </c>
      <c r="O32" s="64">
        <v>-26437</v>
      </c>
      <c r="P32" s="64">
        <v>-131536</v>
      </c>
      <c r="Q32" s="64">
        <v>-181784</v>
      </c>
      <c r="R32" s="64">
        <v>-52114</v>
      </c>
      <c r="S32" s="64">
        <v>-175601</v>
      </c>
      <c r="T32" s="64">
        <v>-301517</v>
      </c>
      <c r="U32" s="64">
        <v>-390972</v>
      </c>
      <c r="V32" s="64">
        <v>-107206</v>
      </c>
      <c r="W32" s="64">
        <v>-251564</v>
      </c>
      <c r="X32" s="64">
        <v>-400047</v>
      </c>
      <c r="Y32" s="64">
        <v>-421034</v>
      </c>
      <c r="Z32" s="64">
        <v>-77073</v>
      </c>
      <c r="AA32" s="64">
        <v>-160781</v>
      </c>
      <c r="AB32" s="64">
        <v>-223451</v>
      </c>
      <c r="AC32" s="64">
        <v>-304712</v>
      </c>
      <c r="AD32" s="64">
        <v>-17579</v>
      </c>
      <c r="AE32" s="64">
        <v>-127169</v>
      </c>
      <c r="AF32" s="64">
        <v>-185976</v>
      </c>
      <c r="AG32" s="64">
        <v>-221937</v>
      </c>
      <c r="AH32" s="64">
        <v>-65176</v>
      </c>
      <c r="AI32" s="64">
        <v>-131035</v>
      </c>
      <c r="AJ32" s="64">
        <v>-242319</v>
      </c>
      <c r="AK32" s="64">
        <v>-406303</v>
      </c>
      <c r="AL32" s="64"/>
      <c r="AM32" s="64">
        <v>-497273</v>
      </c>
      <c r="AN32" s="64">
        <v>-706605</v>
      </c>
      <c r="AO32" s="64">
        <v>-837003</v>
      </c>
      <c r="AP32" s="64">
        <v>-703474</v>
      </c>
      <c r="AQ32" s="64">
        <f>Q32</f>
        <v>-181784</v>
      </c>
      <c r="AR32" s="64">
        <f>U32</f>
        <v>-390972</v>
      </c>
      <c r="AS32" s="64">
        <f>Y32</f>
        <v>-421034</v>
      </c>
      <c r="AT32" s="64">
        <f>AC32</f>
        <v>-304712</v>
      </c>
      <c r="AU32" s="64">
        <f>AG32</f>
        <v>-221937</v>
      </c>
      <c r="AV32" s="64">
        <f>AK32</f>
        <v>-406303</v>
      </c>
    </row>
    <row r="33" spans="1:48" ht="5.25" customHeight="1" x14ac:dyDescent="0.2">
      <c r="A33" s="71"/>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row>
    <row r="34" spans="1:48" x14ac:dyDescent="0.2">
      <c r="A34" s="71"/>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row>
    <row r="35" spans="1:48" ht="12.75" customHeight="1" x14ac:dyDescent="0.2">
      <c r="A35" s="77" t="s">
        <v>88</v>
      </c>
      <c r="B35" s="78">
        <v>547940</v>
      </c>
      <c r="C35" s="78">
        <v>952914</v>
      </c>
      <c r="D35" s="78">
        <v>1524657</v>
      </c>
      <c r="E35" s="78">
        <v>1914450</v>
      </c>
      <c r="F35" s="78">
        <v>450871</v>
      </c>
      <c r="G35" s="78">
        <v>1068082</v>
      </c>
      <c r="H35" s="78">
        <v>1700445</v>
      </c>
      <c r="I35" s="78">
        <v>2319824</v>
      </c>
      <c r="J35" s="78">
        <v>634659</v>
      </c>
      <c r="K35" s="78">
        <v>1515464</v>
      </c>
      <c r="L35" s="78">
        <v>2798730</v>
      </c>
      <c r="M35" s="60">
        <v>2428223</v>
      </c>
      <c r="N35" s="60">
        <v>-109034</v>
      </c>
      <c r="O35" s="78">
        <v>-61386</v>
      </c>
      <c r="P35" s="78">
        <v>168950</v>
      </c>
      <c r="Q35" s="78">
        <v>412955</v>
      </c>
      <c r="R35" s="78">
        <v>134656</v>
      </c>
      <c r="S35" s="78">
        <v>566057</v>
      </c>
      <c r="T35" s="78">
        <v>1100622</v>
      </c>
      <c r="U35" s="78">
        <v>1331316</v>
      </c>
      <c r="V35" s="78">
        <v>365480</v>
      </c>
      <c r="W35" s="78">
        <v>918534</v>
      </c>
      <c r="X35" s="78">
        <v>1137806</v>
      </c>
      <c r="Y35" s="78">
        <v>1261130</v>
      </c>
      <c r="Z35" s="78">
        <v>173541</v>
      </c>
      <c r="AA35" s="78">
        <v>448894</v>
      </c>
      <c r="AB35" s="78">
        <v>615359</v>
      </c>
      <c r="AC35" s="78">
        <v>610157</v>
      </c>
      <c r="AD35" s="78">
        <v>35327</v>
      </c>
      <c r="AE35" s="78">
        <v>68297</v>
      </c>
      <c r="AF35" s="78">
        <v>206600</v>
      </c>
      <c r="AG35" s="78">
        <v>261544</v>
      </c>
      <c r="AH35" s="78">
        <v>217367</v>
      </c>
      <c r="AI35" s="78">
        <v>436344</v>
      </c>
      <c r="AJ35" s="78">
        <v>773083</v>
      </c>
      <c r="AK35" s="78">
        <v>1364182</v>
      </c>
      <c r="AL35" s="78"/>
      <c r="AM35" s="78">
        <v>1395001</v>
      </c>
      <c r="AN35" s="78">
        <v>1914450</v>
      </c>
      <c r="AO35" s="78">
        <v>2319824</v>
      </c>
      <c r="AP35" s="78">
        <v>2428223</v>
      </c>
      <c r="AQ35" s="78">
        <f>Q35</f>
        <v>412955</v>
      </c>
      <c r="AR35" s="78">
        <f>U35</f>
        <v>1331316</v>
      </c>
      <c r="AS35" s="78">
        <f>Y35</f>
        <v>1261130</v>
      </c>
      <c r="AT35" s="78">
        <f>AC35</f>
        <v>610157</v>
      </c>
      <c r="AU35" s="78">
        <f>AG35</f>
        <v>261544</v>
      </c>
      <c r="AV35" s="78">
        <f>AK35</f>
        <v>1364182</v>
      </c>
    </row>
    <row r="36" spans="1:48" ht="5.25" customHeight="1" x14ac:dyDescent="0.2">
      <c r="A36" s="7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row>
    <row r="37" spans="1:48" x14ac:dyDescent="0.2">
      <c r="A37" s="71" t="s">
        <v>7</v>
      </c>
      <c r="B37" s="65">
        <v>-3692</v>
      </c>
      <c r="C37" s="65">
        <v>-11900</v>
      </c>
      <c r="D37" s="65">
        <v>-15807</v>
      </c>
      <c r="E37" s="65">
        <v>-25773</v>
      </c>
      <c r="F37" s="65">
        <v>-5660</v>
      </c>
      <c r="G37" s="65">
        <v>-12067</v>
      </c>
      <c r="H37" s="65">
        <v>-18429</v>
      </c>
      <c r="I37" s="65">
        <v>-23490</v>
      </c>
      <c r="J37" s="65"/>
      <c r="K37" s="65">
        <v>-27422</v>
      </c>
      <c r="L37" s="65">
        <v>-101370</v>
      </c>
      <c r="M37" s="65">
        <v>1730</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v>-21080</v>
      </c>
      <c r="AN37" s="65">
        <v>-25773</v>
      </c>
      <c r="AO37" s="65">
        <v>-23490</v>
      </c>
      <c r="AP37" s="65">
        <v>1730</v>
      </c>
      <c r="AQ37" s="65"/>
      <c r="AR37" s="65"/>
      <c r="AS37" s="65"/>
      <c r="AT37" s="65"/>
      <c r="AU37" s="65"/>
      <c r="AV37" s="65"/>
    </row>
    <row r="38" spans="1:48" ht="5.25" customHeight="1" x14ac:dyDescent="0.2">
      <c r="A38" s="71"/>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row>
    <row r="39" spans="1:48" x14ac:dyDescent="0.2">
      <c r="A39" s="71" t="s">
        <v>39</v>
      </c>
      <c r="B39" s="65">
        <v>483</v>
      </c>
      <c r="C39" s="65">
        <v>492</v>
      </c>
      <c r="D39" s="65">
        <v>497</v>
      </c>
      <c r="E39" s="65">
        <v>501</v>
      </c>
      <c r="F39" s="65">
        <v>10180</v>
      </c>
      <c r="G39" s="65">
        <v>7729</v>
      </c>
      <c r="H39" s="65">
        <v>-25829</v>
      </c>
      <c r="I39" s="65">
        <v>-50312</v>
      </c>
      <c r="J39" s="65">
        <v>-7841</v>
      </c>
      <c r="K39" s="65">
        <v>42774</v>
      </c>
      <c r="L39" s="65">
        <v>62009</v>
      </c>
      <c r="M39" s="65">
        <v>-151212</v>
      </c>
      <c r="N39" s="65">
        <v>-142638</v>
      </c>
      <c r="O39" s="65">
        <v>-258805</v>
      </c>
      <c r="P39" s="65">
        <v>-344093</v>
      </c>
      <c r="Q39" s="65">
        <v>-314859</v>
      </c>
      <c r="R39" s="65">
        <v>-26716</v>
      </c>
      <c r="S39" s="65">
        <v>-5582</v>
      </c>
      <c r="T39" s="65">
        <v>-18862</v>
      </c>
      <c r="U39" s="65">
        <v>-107338</v>
      </c>
      <c r="V39" s="65">
        <v>15421</v>
      </c>
      <c r="W39" s="65">
        <v>53260</v>
      </c>
      <c r="X39" s="65">
        <v>54048</v>
      </c>
      <c r="Y39" s="65">
        <v>54272</v>
      </c>
      <c r="Z39" s="65">
        <v>87</v>
      </c>
      <c r="AA39" s="65">
        <v>349</v>
      </c>
      <c r="AB39" s="65">
        <v>333</v>
      </c>
      <c r="AC39" s="65">
        <v>276</v>
      </c>
      <c r="AD39" s="65">
        <v>77</v>
      </c>
      <c r="AE39" s="65">
        <v>151</v>
      </c>
      <c r="AF39" s="65">
        <v>221</v>
      </c>
      <c r="AG39" s="65">
        <v>-53958</v>
      </c>
      <c r="AH39" s="65">
        <v>-44494</v>
      </c>
      <c r="AI39" s="65">
        <v>-104945</v>
      </c>
      <c r="AJ39" s="65">
        <v>-146196</v>
      </c>
      <c r="AK39" s="65">
        <v>-193034</v>
      </c>
      <c r="AL39" s="65"/>
      <c r="AM39" s="65">
        <v>3701</v>
      </c>
      <c r="AN39" s="65">
        <v>501</v>
      </c>
      <c r="AO39" s="65">
        <v>-50312</v>
      </c>
      <c r="AP39" s="65">
        <v>-151212</v>
      </c>
      <c r="AQ39" s="65">
        <f>Q39</f>
        <v>-314859</v>
      </c>
      <c r="AR39" s="65">
        <f>U39</f>
        <v>-107338</v>
      </c>
      <c r="AS39" s="65">
        <f>Y39</f>
        <v>54272</v>
      </c>
      <c r="AT39" s="65">
        <f>AC39</f>
        <v>276</v>
      </c>
      <c r="AU39" s="65">
        <f>AG39</f>
        <v>-53958</v>
      </c>
      <c r="AV39" s="65">
        <f>AK39</f>
        <v>-193034</v>
      </c>
    </row>
    <row r="40" spans="1:48" x14ac:dyDescent="0.2">
      <c r="A40" s="71" t="s">
        <v>296</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v>-325167</v>
      </c>
      <c r="AL40" s="65"/>
      <c r="AM40" s="65"/>
      <c r="AN40" s="65"/>
      <c r="AO40" s="65"/>
      <c r="AP40" s="65"/>
      <c r="AQ40" s="65"/>
      <c r="AR40" s="65"/>
      <c r="AS40" s="65"/>
      <c r="AT40" s="65"/>
      <c r="AU40" s="65"/>
      <c r="AV40" s="65">
        <f>AK40</f>
        <v>-325167</v>
      </c>
    </row>
    <row r="41" spans="1:48" ht="5.25" customHeight="1" x14ac:dyDescent="0.2">
      <c r="A41" s="7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row>
    <row r="42" spans="1:48" x14ac:dyDescent="0.2">
      <c r="A42" s="59" t="s">
        <v>89</v>
      </c>
      <c r="B42" s="60">
        <v>544731</v>
      </c>
      <c r="C42" s="60">
        <v>941506</v>
      </c>
      <c r="D42" s="60">
        <v>1509347</v>
      </c>
      <c r="E42" s="60">
        <v>1889178</v>
      </c>
      <c r="F42" s="60">
        <v>455391</v>
      </c>
      <c r="G42" s="60">
        <v>1063744</v>
      </c>
      <c r="H42" s="60">
        <v>1656187</v>
      </c>
      <c r="I42" s="60">
        <v>2246022</v>
      </c>
      <c r="J42" s="60">
        <v>617724</v>
      </c>
      <c r="K42" s="60">
        <v>1530816</v>
      </c>
      <c r="L42" s="60">
        <v>2759369</v>
      </c>
      <c r="M42" s="60">
        <v>2278741</v>
      </c>
      <c r="N42" s="60">
        <v>-251672</v>
      </c>
      <c r="O42" s="60">
        <v>-320191</v>
      </c>
      <c r="P42" s="60">
        <v>-175143</v>
      </c>
      <c r="Q42" s="60">
        <v>98096</v>
      </c>
      <c r="R42" s="60">
        <v>107940</v>
      </c>
      <c r="S42" s="60">
        <v>560475</v>
      </c>
      <c r="T42" s="60">
        <v>1081760</v>
      </c>
      <c r="U42" s="60">
        <v>1223978</v>
      </c>
      <c r="V42" s="60">
        <v>380901</v>
      </c>
      <c r="W42" s="60">
        <v>971794</v>
      </c>
      <c r="X42" s="60">
        <v>1191854</v>
      </c>
      <c r="Y42" s="60">
        <v>1315402</v>
      </c>
      <c r="Z42" s="60">
        <v>173628</v>
      </c>
      <c r="AA42" s="60">
        <v>449243</v>
      </c>
      <c r="AB42" s="60">
        <v>615692</v>
      </c>
      <c r="AC42" s="60">
        <v>610433</v>
      </c>
      <c r="AD42" s="60">
        <v>35404</v>
      </c>
      <c r="AE42" s="60">
        <v>68448</v>
      </c>
      <c r="AF42" s="60">
        <v>206821</v>
      </c>
      <c r="AG42" s="60">
        <v>207586</v>
      </c>
      <c r="AH42" s="60">
        <v>172873</v>
      </c>
      <c r="AI42" s="60">
        <v>331399</v>
      </c>
      <c r="AJ42" s="60">
        <v>626887</v>
      </c>
      <c r="AK42" s="60">
        <v>845981</v>
      </c>
      <c r="AL42" s="60"/>
      <c r="AM42" s="60">
        <v>1377622</v>
      </c>
      <c r="AN42" s="60">
        <v>1889178</v>
      </c>
      <c r="AO42" s="60">
        <v>2246022</v>
      </c>
      <c r="AP42" s="60">
        <v>2278741</v>
      </c>
      <c r="AQ42" s="60">
        <f>Q42</f>
        <v>98096</v>
      </c>
      <c r="AR42" s="60">
        <f>U42</f>
        <v>1223978</v>
      </c>
      <c r="AS42" s="60">
        <f>Y42</f>
        <v>1315402</v>
      </c>
      <c r="AT42" s="60">
        <f>AC42</f>
        <v>610433</v>
      </c>
      <c r="AU42" s="60">
        <f>AG42</f>
        <v>207586</v>
      </c>
      <c r="AV42" s="60">
        <f>AK42</f>
        <v>845981</v>
      </c>
    </row>
    <row r="43" spans="1:48" ht="5.25" customHeight="1" x14ac:dyDescent="0.2">
      <c r="A43" s="61"/>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row>
    <row r="44" spans="1:48" x14ac:dyDescent="0.2">
      <c r="A44" s="59" t="s">
        <v>90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row>
    <row r="45" spans="1:48" ht="5.25" customHeight="1" x14ac:dyDescent="0.2">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row>
    <row r="46" spans="1:48" x14ac:dyDescent="0.2">
      <c r="A46" s="71" t="s">
        <v>91</v>
      </c>
      <c r="B46" s="65">
        <v>1172</v>
      </c>
      <c r="C46" s="65">
        <v>2279</v>
      </c>
      <c r="D46" s="65">
        <v>226706</v>
      </c>
      <c r="E46" s="65">
        <v>228499</v>
      </c>
      <c r="F46" s="65">
        <v>1226</v>
      </c>
      <c r="G46" s="65">
        <v>1236</v>
      </c>
      <c r="H46" s="65">
        <v>1245</v>
      </c>
      <c r="I46" s="65">
        <v>1261</v>
      </c>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v>3773</v>
      </c>
      <c r="AN46" s="65">
        <v>228499</v>
      </c>
      <c r="AO46" s="65">
        <v>1261</v>
      </c>
      <c r="AP46" s="65"/>
      <c r="AQ46" s="65"/>
      <c r="AR46" s="65"/>
      <c r="AS46" s="65"/>
      <c r="AT46" s="65"/>
      <c r="AU46" s="65"/>
      <c r="AV46" s="65"/>
    </row>
    <row r="47" spans="1:48" x14ac:dyDescent="0.2">
      <c r="A47" s="71" t="s">
        <v>87</v>
      </c>
      <c r="B47" s="65"/>
      <c r="C47" s="65"/>
      <c r="D47" s="65">
        <v>-51334</v>
      </c>
      <c r="E47" s="65">
        <v>-51714</v>
      </c>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v>-51714</v>
      </c>
      <c r="AO47" s="65"/>
      <c r="AP47" s="65"/>
      <c r="AQ47" s="65"/>
      <c r="AR47" s="65"/>
      <c r="AS47" s="65"/>
      <c r="AT47" s="65"/>
      <c r="AU47" s="65"/>
      <c r="AV47" s="65"/>
    </row>
    <row r="48" spans="1:48" ht="5.25" customHeight="1" x14ac:dyDescent="0.2">
      <c r="A48" s="71"/>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row>
    <row r="49" spans="1:48" x14ac:dyDescent="0.2">
      <c r="A49" s="59" t="s">
        <v>92</v>
      </c>
      <c r="B49" s="60">
        <v>1172</v>
      </c>
      <c r="C49" s="60">
        <v>2279</v>
      </c>
      <c r="D49" s="60">
        <v>175372</v>
      </c>
      <c r="E49" s="60">
        <v>176785</v>
      </c>
      <c r="F49" s="60">
        <v>1226</v>
      </c>
      <c r="G49" s="60">
        <v>1236</v>
      </c>
      <c r="H49" s="60">
        <v>1245</v>
      </c>
      <c r="I49" s="60">
        <v>1261</v>
      </c>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v>3773</v>
      </c>
      <c r="AN49" s="60">
        <v>176785</v>
      </c>
      <c r="AO49" s="60">
        <v>1261</v>
      </c>
      <c r="AP49" s="60"/>
      <c r="AQ49" s="60"/>
      <c r="AR49" s="60"/>
      <c r="AS49" s="60"/>
      <c r="AT49" s="60"/>
      <c r="AU49" s="60"/>
      <c r="AV49" s="60"/>
    </row>
    <row r="50" spans="1:48" ht="5.25" customHeight="1" x14ac:dyDescent="0.2">
      <c r="A50" s="6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row>
    <row r="51" spans="1:48" x14ac:dyDescent="0.2">
      <c r="A51" s="59" t="s">
        <v>221</v>
      </c>
      <c r="B51" s="60">
        <v>545903</v>
      </c>
      <c r="C51" s="60">
        <v>943785</v>
      </c>
      <c r="D51" s="60">
        <v>1684719</v>
      </c>
      <c r="E51" s="60">
        <v>2065963</v>
      </c>
      <c r="F51" s="60">
        <v>456617</v>
      </c>
      <c r="G51" s="60">
        <v>1064980</v>
      </c>
      <c r="H51" s="60">
        <v>1657432</v>
      </c>
      <c r="I51" s="60">
        <v>2247283</v>
      </c>
      <c r="J51" s="60">
        <v>626818</v>
      </c>
      <c r="K51" s="60">
        <v>1530816</v>
      </c>
      <c r="L51" s="60">
        <v>2759369</v>
      </c>
      <c r="M51" s="60">
        <v>2278741</v>
      </c>
      <c r="N51" s="60">
        <v>-251672</v>
      </c>
      <c r="O51" s="60">
        <v>-320191</v>
      </c>
      <c r="P51" s="60">
        <v>-175143</v>
      </c>
      <c r="Q51" s="60">
        <v>98096</v>
      </c>
      <c r="R51" s="60">
        <v>107940</v>
      </c>
      <c r="S51" s="60">
        <v>560475</v>
      </c>
      <c r="T51" s="60">
        <v>1081760</v>
      </c>
      <c r="U51" s="60">
        <v>1223978</v>
      </c>
      <c r="V51" s="60">
        <v>380901</v>
      </c>
      <c r="W51" s="60">
        <v>971794</v>
      </c>
      <c r="X51" s="60">
        <v>1191854</v>
      </c>
      <c r="Y51" s="60">
        <v>1315402</v>
      </c>
      <c r="Z51" s="60">
        <v>173628</v>
      </c>
      <c r="AA51" s="60">
        <v>449243</v>
      </c>
      <c r="AB51" s="60">
        <v>615692</v>
      </c>
      <c r="AC51" s="60">
        <v>610433</v>
      </c>
      <c r="AD51" s="60">
        <v>35404</v>
      </c>
      <c r="AE51" s="60">
        <v>68448</v>
      </c>
      <c r="AF51" s="60">
        <v>206821</v>
      </c>
      <c r="AG51" s="60">
        <v>207586</v>
      </c>
      <c r="AH51" s="60">
        <v>172873</v>
      </c>
      <c r="AI51" s="60">
        <v>331399</v>
      </c>
      <c r="AJ51" s="60">
        <v>626887</v>
      </c>
      <c r="AK51" s="60">
        <v>845981</v>
      </c>
      <c r="AL51" s="60"/>
      <c r="AM51" s="60">
        <v>1381395</v>
      </c>
      <c r="AN51" s="60">
        <v>2065963</v>
      </c>
      <c r="AO51" s="60">
        <v>2247283</v>
      </c>
      <c r="AP51" s="60">
        <v>2278741</v>
      </c>
      <c r="AQ51" s="60">
        <f>Q51</f>
        <v>98096</v>
      </c>
      <c r="AR51" s="60">
        <f>U51</f>
        <v>1223978</v>
      </c>
      <c r="AS51" s="60">
        <f>Y51</f>
        <v>1315402</v>
      </c>
      <c r="AT51" s="60">
        <f>AC51</f>
        <v>610433</v>
      </c>
      <c r="AU51" s="60">
        <f>AG51</f>
        <v>207586</v>
      </c>
      <c r="AV51" s="60">
        <f>AK51</f>
        <v>845981</v>
      </c>
    </row>
    <row r="52" spans="1:48" ht="5.25" customHeight="1" x14ac:dyDescent="0.2">
      <c r="A52" s="61"/>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row>
    <row r="53" spans="1:48" x14ac:dyDescent="0.2">
      <c r="A53" s="71" t="s">
        <v>264</v>
      </c>
      <c r="B53" s="65"/>
      <c r="C53" s="65"/>
      <c r="D53" s="65"/>
      <c r="E53" s="65"/>
      <c r="F53" s="65"/>
      <c r="G53" s="65"/>
      <c r="H53" s="65"/>
      <c r="I53" s="65"/>
      <c r="J53" s="65">
        <v>-9094</v>
      </c>
      <c r="K53" s="65"/>
      <c r="L53" s="65"/>
      <c r="M53" s="65">
        <v>1730</v>
      </c>
      <c r="N53" s="65">
        <v>57851</v>
      </c>
      <c r="O53" s="65">
        <v>77270</v>
      </c>
      <c r="P53" s="65">
        <v>96020</v>
      </c>
      <c r="Q53" s="65">
        <v>116959</v>
      </c>
      <c r="R53" s="65">
        <v>23611</v>
      </c>
      <c r="S53" s="65">
        <v>29590</v>
      </c>
      <c r="T53" s="65">
        <v>24736</v>
      </c>
      <c r="U53" s="65">
        <v>31065</v>
      </c>
      <c r="V53" s="65">
        <v>11474</v>
      </c>
      <c r="W53" s="65">
        <v>7611</v>
      </c>
      <c r="X53" s="65">
        <v>12309</v>
      </c>
      <c r="Y53" s="65">
        <v>42192</v>
      </c>
      <c r="Z53" s="65">
        <v>-725</v>
      </c>
      <c r="AA53" s="65">
        <v>1340</v>
      </c>
      <c r="AB53" s="65">
        <v>1729</v>
      </c>
      <c r="AC53" s="65">
        <v>-14628</v>
      </c>
      <c r="AD53" s="65">
        <v>2494</v>
      </c>
      <c r="AE53" s="65">
        <v>3149</v>
      </c>
      <c r="AF53" s="65">
        <v>2451</v>
      </c>
      <c r="AG53" s="65">
        <v>-18846</v>
      </c>
      <c r="AH53" s="65">
        <v>1012</v>
      </c>
      <c r="AI53" s="65">
        <v>891</v>
      </c>
      <c r="AJ53" s="65">
        <v>-13763</v>
      </c>
      <c r="AK53" s="65">
        <v>-1156</v>
      </c>
      <c r="AL53" s="65"/>
      <c r="AM53" s="65"/>
      <c r="AN53" s="65"/>
      <c r="AO53" s="65"/>
      <c r="AP53" s="65">
        <f>M53</f>
        <v>1730</v>
      </c>
      <c r="AQ53" s="65">
        <f>Q53</f>
        <v>116959</v>
      </c>
      <c r="AR53" s="65">
        <f>U53</f>
        <v>31065</v>
      </c>
      <c r="AS53" s="65">
        <f>Y53</f>
        <v>42192</v>
      </c>
      <c r="AT53" s="65">
        <f>AC53</f>
        <v>-14628</v>
      </c>
      <c r="AU53" s="65">
        <f>AG53</f>
        <v>-18846</v>
      </c>
      <c r="AV53" s="65">
        <f>AK53</f>
        <v>-1156</v>
      </c>
    </row>
    <row r="54" spans="1:48" ht="19.5" customHeight="1" x14ac:dyDescent="0.2">
      <c r="A54" s="307" t="s">
        <v>172</v>
      </c>
      <c r="B54" s="308"/>
      <c r="C54" s="308"/>
      <c r="D54" s="308"/>
      <c r="E54" s="308"/>
      <c r="F54" s="308"/>
      <c r="G54" s="308"/>
      <c r="H54" s="308"/>
      <c r="I54" s="308"/>
      <c r="J54" s="308">
        <v>617724</v>
      </c>
      <c r="K54" s="308"/>
      <c r="L54" s="308"/>
      <c r="M54" s="308">
        <v>2278741</v>
      </c>
      <c r="N54" s="308">
        <v>-193821</v>
      </c>
      <c r="O54" s="308">
        <v>-242921</v>
      </c>
      <c r="P54" s="308">
        <v>-79123</v>
      </c>
      <c r="Q54" s="308">
        <v>215055</v>
      </c>
      <c r="R54" s="308">
        <v>131551</v>
      </c>
      <c r="S54" s="308">
        <v>590065</v>
      </c>
      <c r="T54" s="308">
        <v>1106496</v>
      </c>
      <c r="U54" s="308">
        <v>1255043</v>
      </c>
      <c r="V54" s="308">
        <v>392375</v>
      </c>
      <c r="W54" s="308">
        <v>979405</v>
      </c>
      <c r="X54" s="308">
        <v>1204163</v>
      </c>
      <c r="Y54" s="308">
        <v>1357594</v>
      </c>
      <c r="Z54" s="308">
        <v>172904</v>
      </c>
      <c r="AA54" s="308">
        <v>450583</v>
      </c>
      <c r="AB54" s="308">
        <v>617421</v>
      </c>
      <c r="AC54" s="308">
        <v>595805</v>
      </c>
      <c r="AD54" s="308">
        <v>37898</v>
      </c>
      <c r="AE54" s="308">
        <v>71597</v>
      </c>
      <c r="AF54" s="308">
        <v>209272</v>
      </c>
      <c r="AG54" s="308">
        <v>188740</v>
      </c>
      <c r="AH54" s="308">
        <v>173885</v>
      </c>
      <c r="AI54" s="308">
        <v>332290</v>
      </c>
      <c r="AJ54" s="308">
        <v>613124</v>
      </c>
      <c r="AK54" s="308">
        <v>844825</v>
      </c>
      <c r="AL54" s="308"/>
      <c r="AM54" s="308">
        <f>AM51</f>
        <v>1381395</v>
      </c>
      <c r="AN54" s="308">
        <f>AN51</f>
        <v>2065963</v>
      </c>
      <c r="AO54" s="308">
        <f>AO51</f>
        <v>2247283</v>
      </c>
      <c r="AP54" s="308">
        <f>M54</f>
        <v>2278741</v>
      </c>
      <c r="AQ54" s="308">
        <f>Q54</f>
        <v>215055</v>
      </c>
      <c r="AR54" s="308">
        <f>U54</f>
        <v>1255043</v>
      </c>
      <c r="AS54" s="308">
        <f>Y54</f>
        <v>1357594</v>
      </c>
      <c r="AT54" s="308">
        <f>AC54</f>
        <v>595805</v>
      </c>
      <c r="AU54" s="308">
        <f>AG54</f>
        <v>188740</v>
      </c>
      <c r="AV54" s="308">
        <f>AK54</f>
        <v>844825</v>
      </c>
    </row>
    <row r="55" spans="1:48" ht="17.25" customHeight="1" x14ac:dyDescent="0.2">
      <c r="A55" s="67"/>
      <c r="B55" s="68"/>
      <c r="C55" s="68"/>
      <c r="D55" s="68"/>
      <c r="E55" s="68"/>
      <c r="F55" s="68"/>
      <c r="G55" s="68"/>
      <c r="H55" s="68"/>
      <c r="I55" s="68"/>
      <c r="J55" s="68"/>
      <c r="K55" s="68"/>
      <c r="L55" s="65"/>
      <c r="M55" s="65"/>
      <c r="N55" s="65"/>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row>
    <row r="56" spans="1:48" ht="13.5" thickBot="1" x14ac:dyDescent="0.25">
      <c r="A56" s="79" t="s">
        <v>2</v>
      </c>
      <c r="B56" s="80">
        <f t="shared" ref="B56:L56" si="0">B17-B15-B14-B6</f>
        <v>450110</v>
      </c>
      <c r="C56" s="80">
        <f t="shared" si="0"/>
        <v>1080036</v>
      </c>
      <c r="D56" s="80">
        <f t="shared" si="0"/>
        <v>1926063</v>
      </c>
      <c r="E56" s="80">
        <f t="shared" si="0"/>
        <v>2757967</v>
      </c>
      <c r="F56" s="80">
        <f t="shared" si="0"/>
        <v>748507</v>
      </c>
      <c r="G56" s="80">
        <f t="shared" si="0"/>
        <v>1587947</v>
      </c>
      <c r="H56" s="80">
        <f t="shared" si="0"/>
        <v>2484797</v>
      </c>
      <c r="I56" s="80">
        <f t="shared" si="0"/>
        <v>3412260</v>
      </c>
      <c r="J56" s="80">
        <f t="shared" si="0"/>
        <v>895766</v>
      </c>
      <c r="K56" s="80">
        <f t="shared" si="0"/>
        <v>2315600</v>
      </c>
      <c r="L56" s="80">
        <f t="shared" si="0"/>
        <v>4160119</v>
      </c>
      <c r="M56" s="80">
        <f>M17-M15-M14-M6</f>
        <v>4688703</v>
      </c>
      <c r="N56" s="80">
        <f>N17-N15-N14-N6</f>
        <v>195716</v>
      </c>
      <c r="O56" s="80">
        <f>O17-O15-O14-O6</f>
        <v>427306</v>
      </c>
      <c r="P56" s="80">
        <f>P17-P15-P14-P6</f>
        <v>893230</v>
      </c>
      <c r="Q56" s="80">
        <f t="shared" ref="Q56:Y56" si="1">Q17-Q15-Q14-Q6</f>
        <v>1413700</v>
      </c>
      <c r="R56" s="80">
        <f t="shared" si="1"/>
        <v>387455</v>
      </c>
      <c r="S56" s="80">
        <f t="shared" si="1"/>
        <v>1137041</v>
      </c>
      <c r="T56" s="80">
        <f t="shared" si="1"/>
        <v>1817598</v>
      </c>
      <c r="U56" s="80">
        <f t="shared" si="1"/>
        <v>2322187</v>
      </c>
      <c r="V56" s="80">
        <f t="shared" si="1"/>
        <v>587453</v>
      </c>
      <c r="W56" s="80">
        <f t="shared" si="1"/>
        <v>1411154</v>
      </c>
      <c r="X56" s="80">
        <f t="shared" si="1"/>
        <v>1883460</v>
      </c>
      <c r="Y56" s="80">
        <f t="shared" si="1"/>
        <v>2254386</v>
      </c>
      <c r="Z56" s="80">
        <f>Z17-Z15-Z14-Z6</f>
        <v>432161</v>
      </c>
      <c r="AA56" s="80">
        <f>AA17-AA15-AA14-AA6</f>
        <v>1028040</v>
      </c>
      <c r="AB56" s="80">
        <f>AB17-AB15-AB14-AB6</f>
        <v>1510933</v>
      </c>
      <c r="AC56" s="80">
        <v>1900490</v>
      </c>
      <c r="AD56" s="80">
        <v>318082</v>
      </c>
      <c r="AE56" s="80">
        <v>717755</v>
      </c>
      <c r="AF56" s="80">
        <v>1096269</v>
      </c>
      <c r="AG56" s="80">
        <f>AG17-AG15-AG14-AG6</f>
        <v>1505332</v>
      </c>
      <c r="AH56" s="80">
        <f>AH17-AH15-AH14-AH6</f>
        <v>468167</v>
      </c>
      <c r="AI56" s="80">
        <f>AI17-AI15-AI14-AI6</f>
        <v>1062591</v>
      </c>
      <c r="AJ56" s="80">
        <f>AJ17-AJ15-AJ14-AJ6</f>
        <v>1755579</v>
      </c>
      <c r="AK56" s="80">
        <f>AK17-AK15-AK14-AK6</f>
        <v>2382739</v>
      </c>
      <c r="AL56" s="80"/>
      <c r="AM56" s="81">
        <v>2089352</v>
      </c>
      <c r="AN56" s="81">
        <v>2705668</v>
      </c>
      <c r="AO56" s="81">
        <v>3336054</v>
      </c>
      <c r="AP56" s="81">
        <v>4537952</v>
      </c>
      <c r="AQ56" s="81">
        <f>Q56</f>
        <v>1413700</v>
      </c>
      <c r="AR56" s="80">
        <f>U56</f>
        <v>2322187</v>
      </c>
      <c r="AS56" s="80">
        <f>Y56</f>
        <v>2254386</v>
      </c>
      <c r="AT56" s="80">
        <f>AC56</f>
        <v>1900490</v>
      </c>
      <c r="AU56" s="80">
        <f>AG56</f>
        <v>1505332</v>
      </c>
      <c r="AV56" s="80">
        <f>AK56</f>
        <v>2382739</v>
      </c>
    </row>
    <row r="57" spans="1:48" x14ac:dyDescent="0.2">
      <c r="A57" s="67"/>
      <c r="B57" s="68"/>
      <c r="C57" s="68"/>
      <c r="D57" s="68"/>
      <c r="E57" s="68"/>
      <c r="F57" s="68"/>
      <c r="G57" s="68"/>
      <c r="H57" s="68"/>
      <c r="I57" s="68"/>
      <c r="J57" s="68"/>
      <c r="K57" s="68"/>
      <c r="L57" s="65"/>
      <c r="M57" s="65"/>
      <c r="N57" s="65"/>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row>
    <row r="58" spans="1:48" ht="13.5" thickBot="1" x14ac:dyDescent="0.25">
      <c r="A58" s="67"/>
      <c r="B58" s="68"/>
      <c r="C58" s="68"/>
      <c r="D58" s="68"/>
      <c r="E58" s="68"/>
      <c r="F58" s="68"/>
      <c r="G58" s="68"/>
      <c r="H58" s="68"/>
      <c r="I58" s="68"/>
      <c r="J58" s="68"/>
      <c r="K58" s="68"/>
      <c r="L58" s="65"/>
      <c r="M58" s="65"/>
      <c r="N58" s="65"/>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row>
    <row r="59" spans="1:48" s="84" customFormat="1" ht="12" thickBot="1" x14ac:dyDescent="0.25">
      <c r="A59" s="82" t="s">
        <v>93</v>
      </c>
      <c r="B59" s="82">
        <f>B56/B3</f>
        <v>0.41415740944360968</v>
      </c>
      <c r="C59" s="82">
        <f t="shared" ref="C59:AC59" si="2">C56/C3</f>
        <v>0.42487898237007693</v>
      </c>
      <c r="D59" s="82">
        <f t="shared" si="2"/>
        <v>0.44949339130970528</v>
      </c>
      <c r="E59" s="82">
        <f t="shared" si="2"/>
        <v>0.45619220510699887</v>
      </c>
      <c r="F59" s="82">
        <f t="shared" si="2"/>
        <v>0.42767771742794686</v>
      </c>
      <c r="G59" s="82">
        <f t="shared" si="2"/>
        <v>0.43998676670696318</v>
      </c>
      <c r="H59" s="82">
        <f t="shared" si="2"/>
        <v>0.44806986926651371</v>
      </c>
      <c r="I59" s="82">
        <f t="shared" si="2"/>
        <v>0.44205635892759493</v>
      </c>
      <c r="J59" s="82">
        <f t="shared" si="2"/>
        <v>0.38064897206428527</v>
      </c>
      <c r="K59" s="82">
        <f t="shared" si="2"/>
        <v>0.39356749318786272</v>
      </c>
      <c r="L59" s="82">
        <f t="shared" si="2"/>
        <v>0.43155267276473264</v>
      </c>
      <c r="M59" s="82">
        <f t="shared" si="2"/>
        <v>0.4007897143100394</v>
      </c>
      <c r="N59" s="82">
        <f t="shared" si="2"/>
        <v>0.15132766216715662</v>
      </c>
      <c r="O59" s="82">
        <f t="shared" si="2"/>
        <v>0.16522153023225422</v>
      </c>
      <c r="P59" s="82">
        <f t="shared" si="2"/>
        <v>0.20651136294540232</v>
      </c>
      <c r="Q59" s="82">
        <f t="shared" si="2"/>
        <v>0.23024823714412054</v>
      </c>
      <c r="R59" s="82">
        <f t="shared" si="2"/>
        <v>0.22825816728936835</v>
      </c>
      <c r="S59" s="82">
        <f t="shared" si="2"/>
        <v>0.29509556910645063</v>
      </c>
      <c r="T59" s="82">
        <f t="shared" si="2"/>
        <v>0.29871926603333382</v>
      </c>
      <c r="U59" s="82">
        <f t="shared" si="2"/>
        <v>0.27808131678743031</v>
      </c>
      <c r="V59" s="82">
        <f t="shared" si="2"/>
        <v>0.24903916183880642</v>
      </c>
      <c r="W59" s="82">
        <f t="shared" si="2"/>
        <v>0.26420439812062768</v>
      </c>
      <c r="X59" s="82">
        <f t="shared" si="2"/>
        <v>0.21711061649082081</v>
      </c>
      <c r="Y59" s="82">
        <f t="shared" si="2"/>
        <v>0.19221343190073867</v>
      </c>
      <c r="Z59" s="82">
        <f t="shared" si="2"/>
        <v>0.13966172441886657</v>
      </c>
      <c r="AA59" s="82">
        <f t="shared" si="2"/>
        <v>0.16185823659478635</v>
      </c>
      <c r="AB59" s="82">
        <f t="shared" si="2"/>
        <v>0.1615337772377162</v>
      </c>
      <c r="AC59" s="82">
        <f t="shared" si="2"/>
        <v>0.15633411074419543</v>
      </c>
      <c r="AD59" s="82">
        <f t="shared" ref="AD59:AI59" si="3">AD56/AD3</f>
        <v>0.11138019106232812</v>
      </c>
      <c r="AE59" s="82">
        <f t="shared" si="3"/>
        <v>0.12625364466359332</v>
      </c>
      <c r="AF59" s="82">
        <f t="shared" si="3"/>
        <v>0.13043562065160164</v>
      </c>
      <c r="AG59" s="82">
        <f t="shared" si="3"/>
        <v>0.13798432587111237</v>
      </c>
      <c r="AH59" s="82">
        <f t="shared" ref="AH59" si="4">AH56/AH3</f>
        <v>0.17748193685034169</v>
      </c>
      <c r="AI59" s="82">
        <f t="shared" si="3"/>
        <v>0.19511334793360066</v>
      </c>
      <c r="AJ59" s="82">
        <f>AJ56/AJ3</f>
        <v>0.21800256301362719</v>
      </c>
      <c r="AK59" s="82">
        <f>AK56/AK3</f>
        <v>0.22920327218460321</v>
      </c>
      <c r="AL59" s="82"/>
      <c r="AM59" s="82">
        <v>0.47747820630073634</v>
      </c>
      <c r="AN59" s="82">
        <v>0.4475414866122196</v>
      </c>
      <c r="AO59" s="82">
        <v>0.43218391459790251</v>
      </c>
      <c r="AP59" s="82">
        <v>0.3879035387041303</v>
      </c>
      <c r="AQ59" s="82">
        <f t="shared" ref="AQ59:AR61" si="5">Q59</f>
        <v>0.23024823714412054</v>
      </c>
      <c r="AR59" s="82">
        <f t="shared" si="5"/>
        <v>0.22825816728936835</v>
      </c>
      <c r="AS59" s="82">
        <f>Y59</f>
        <v>0.19221343190073867</v>
      </c>
      <c r="AT59" s="82">
        <f>AC59</f>
        <v>0.15633411074419543</v>
      </c>
      <c r="AU59" s="82">
        <f>AU56/AU3</f>
        <v>0.13798432587111237</v>
      </c>
      <c r="AV59" s="82">
        <f>AV56/AV3</f>
        <v>0.22920327218460321</v>
      </c>
    </row>
    <row r="60" spans="1:48" s="84" customFormat="1" ht="12" thickBot="1" x14ac:dyDescent="0.25">
      <c r="A60" s="82" t="s">
        <v>94</v>
      </c>
      <c r="B60" s="82">
        <v>0.34634328571073664</v>
      </c>
      <c r="C60" s="82">
        <v>0.36260284777447543</v>
      </c>
      <c r="D60" s="82">
        <v>0.39114564323060824</v>
      </c>
      <c r="E60" s="82">
        <v>0.37106916158378994</v>
      </c>
      <c r="F60" s="82">
        <v>0.3657630190507643</v>
      </c>
      <c r="G60" s="82">
        <v>0.3835119707825736</v>
      </c>
      <c r="H60" s="82">
        <v>0.39338176489755672</v>
      </c>
      <c r="I60" s="82">
        <v>0.38843727235735021</v>
      </c>
      <c r="J60" s="82">
        <v>0.32993039443155453</v>
      </c>
      <c r="K60" s="82">
        <v>0.35177618661720955</v>
      </c>
      <c r="L60" s="83">
        <v>0.39216528160547942</v>
      </c>
      <c r="M60" s="83">
        <v>0.34716109818038149</v>
      </c>
      <c r="N60" s="83">
        <v>7.6617187004668588E-2</v>
      </c>
      <c r="O60" s="82">
        <f t="shared" ref="O60:V60" si="6">O17/O3</f>
        <v>7.9095265327049358E-2</v>
      </c>
      <c r="P60" s="82">
        <f t="shared" si="6"/>
        <v>0.125896954475854</v>
      </c>
      <c r="Q60" s="82">
        <f t="shared" si="6"/>
        <v>0.1452664907136034</v>
      </c>
      <c r="R60" s="82">
        <f t="shared" si="6"/>
        <v>0.15579913776140805</v>
      </c>
      <c r="S60" s="82">
        <f t="shared" si="6"/>
        <v>0.23127936575166982</v>
      </c>
      <c r="T60" s="82">
        <f t="shared" si="6"/>
        <v>0.24002060271148512</v>
      </c>
      <c r="U60" s="82">
        <f t="shared" si="6"/>
        <v>0.21490170700876138</v>
      </c>
      <c r="V60" s="82">
        <f t="shared" si="6"/>
        <v>0.19645314424908791</v>
      </c>
      <c r="W60" s="82">
        <f t="shared" ref="W60:AC60" si="7">W17/W3</f>
        <v>0.21578069870786132</v>
      </c>
      <c r="X60" s="82">
        <f t="shared" si="7"/>
        <v>0.16408677831088619</v>
      </c>
      <c r="Y60" s="82">
        <f t="shared" si="7"/>
        <v>0.14201910277786967</v>
      </c>
      <c r="Z60" s="82">
        <f t="shared" si="7"/>
        <v>8.2431445015271429E-2</v>
      </c>
      <c r="AA60" s="82">
        <f t="shared" si="7"/>
        <v>0.10706411289078269</v>
      </c>
      <c r="AB60" s="82">
        <f t="shared" si="7"/>
        <v>0.10068907741627721</v>
      </c>
      <c r="AC60" s="82">
        <f t="shared" si="7"/>
        <v>9.3181954284556071E-2</v>
      </c>
      <c r="AD60" s="82">
        <f t="shared" ref="AD60:AI60" si="8">AD17/AD3</f>
        <v>3.8809491627979614E-2</v>
      </c>
      <c r="AE60" s="82">
        <f t="shared" si="8"/>
        <v>5.115668816877466E-2</v>
      </c>
      <c r="AF60" s="82">
        <f t="shared" si="8"/>
        <v>5.2332660096910351E-2</v>
      </c>
      <c r="AG60" s="82">
        <f t="shared" si="8"/>
        <v>5.9014567381173118E-2</v>
      </c>
      <c r="AH60" s="82">
        <f t="shared" ref="AH60" si="9">AH17/AH3</f>
        <v>0.10195998300117255</v>
      </c>
      <c r="AI60" s="82">
        <f t="shared" si="8"/>
        <v>0.11956733900487677</v>
      </c>
      <c r="AJ60" s="82">
        <f>AJ17/AJ3</f>
        <v>0.13078348246993055</v>
      </c>
      <c r="AK60" s="82">
        <f>AK17/AK3</f>
        <v>0.14274983247955461</v>
      </c>
      <c r="AL60" s="82"/>
      <c r="AM60" s="82">
        <v>0.4214135635812008</v>
      </c>
      <c r="AN60" s="82">
        <v>0.37106916158378994</v>
      </c>
      <c r="AO60" s="82">
        <v>0.38843727235735021</v>
      </c>
      <c r="AP60" s="82">
        <v>0.34716109818038149</v>
      </c>
      <c r="AQ60" s="82">
        <f t="shared" si="5"/>
        <v>0.1452664907136034</v>
      </c>
      <c r="AR60" s="82">
        <f t="shared" si="5"/>
        <v>0.15579913776140805</v>
      </c>
      <c r="AS60" s="82">
        <f>Y60</f>
        <v>0.14201910277786967</v>
      </c>
      <c r="AT60" s="82">
        <f>AC60</f>
        <v>9.3181954284556071E-2</v>
      </c>
      <c r="AU60" s="82">
        <f>AU17/AU3</f>
        <v>5.9014567381173118E-2</v>
      </c>
      <c r="AV60" s="82">
        <f>AV17/AV3</f>
        <v>0.14274983247955461</v>
      </c>
    </row>
    <row r="61" spans="1:48" s="88" customFormat="1" ht="12" thickBot="1" x14ac:dyDescent="0.25">
      <c r="A61" s="85" t="s">
        <v>31</v>
      </c>
      <c r="B61" s="86">
        <v>9.1086651338119454E-2</v>
      </c>
      <c r="C61" s="86">
        <v>0.15747525702028944</v>
      </c>
      <c r="D61" s="86">
        <v>0.28110380810456304</v>
      </c>
      <c r="E61" s="86">
        <v>0.34471628010554128</v>
      </c>
      <c r="F61" s="86">
        <v>7.6188834782109804E-2</v>
      </c>
      <c r="G61" s="86">
        <v>0.17769725013797408</v>
      </c>
      <c r="H61" s="86">
        <v>0.27655083540600073</v>
      </c>
      <c r="I61" s="86">
        <v>0.37497043078913861</v>
      </c>
      <c r="J61" s="86">
        <v>0.10307034511843405</v>
      </c>
      <c r="K61" s="86">
        <v>0.25542432127102194</v>
      </c>
      <c r="L61" s="87">
        <v>0.46041454620365768</v>
      </c>
      <c r="M61" s="87">
        <v>0.38021935574063098</v>
      </c>
      <c r="N61" s="87">
        <v>-3.2300000000000002E-2</v>
      </c>
      <c r="O61" s="86">
        <f t="shared" ref="O61:V61" si="10">O54/5993227240*1000</f>
        <v>-4.053258624647111E-2</v>
      </c>
      <c r="P61" s="86">
        <f t="shared" si="10"/>
        <v>-1.3202069074223857E-2</v>
      </c>
      <c r="Q61" s="86">
        <f t="shared" si="10"/>
        <v>3.5883004496255345E-2</v>
      </c>
      <c r="R61" s="86">
        <f t="shared" si="10"/>
        <v>2.1949943616688228E-2</v>
      </c>
      <c r="S61" s="86">
        <f t="shared" si="10"/>
        <v>9.8455302355596991E-2</v>
      </c>
      <c r="T61" s="86">
        <f t="shared" si="10"/>
        <v>0.18462440279504572</v>
      </c>
      <c r="U61" s="86">
        <f t="shared" si="10"/>
        <v>0.20941021418703956</v>
      </c>
      <c r="V61" s="86">
        <f t="shared" si="10"/>
        <v>6.5469735133887569E-2</v>
      </c>
      <c r="W61" s="86">
        <f>W54/5993227240*1000</f>
        <v>0.16341863252960856</v>
      </c>
      <c r="X61" s="86">
        <f>X54/5993227240*1000</f>
        <v>0.2009206312023637</v>
      </c>
      <c r="Y61" s="86">
        <f>Y54/5993227240*1000</f>
        <v>0.22652136247048094</v>
      </c>
      <c r="Z61" s="86">
        <f>Z54/5993227240*1000</f>
        <v>2.8849898906886766E-2</v>
      </c>
      <c r="AA61" s="86">
        <v>7.5200000000000003E-2</v>
      </c>
      <c r="AB61" s="86">
        <v>0.10299999999999999</v>
      </c>
      <c r="AC61" s="86">
        <v>9.9400000000000002E-2</v>
      </c>
      <c r="AD61" s="86">
        <f t="shared" ref="AD61:AI61" si="11">AD54/5993227240*1000</f>
        <v>6.3234712254961987E-3</v>
      </c>
      <c r="AE61" s="86">
        <f t="shared" si="11"/>
        <v>1.1946318257740549E-2</v>
      </c>
      <c r="AF61" s="86">
        <f t="shared" si="11"/>
        <v>3.4918081964801319E-2</v>
      </c>
      <c r="AG61" s="86">
        <f t="shared" si="11"/>
        <v>3.1492214868862542E-2</v>
      </c>
      <c r="AH61" s="86">
        <f t="shared" ref="AH61" si="12">AH54/5993227240*1000</f>
        <v>2.9013583673159704E-2</v>
      </c>
      <c r="AI61" s="86">
        <f t="shared" si="11"/>
        <v>5.5444251768434531E-2</v>
      </c>
      <c r="AJ61" s="86">
        <f>AJ54/5993227240*1000</f>
        <v>0.10230281206557421</v>
      </c>
      <c r="AK61" s="86">
        <f>AK54/5993227240*1000</f>
        <v>0.14096328508311326</v>
      </c>
      <c r="AL61" s="86"/>
      <c r="AM61" s="86">
        <v>0.23049267859898467</v>
      </c>
      <c r="AN61" s="86">
        <v>0.34471628010554128</v>
      </c>
      <c r="AO61" s="86">
        <v>0.37497043078913861</v>
      </c>
      <c r="AP61" s="86">
        <v>0.38021935574063098</v>
      </c>
      <c r="AQ61" s="86">
        <f t="shared" si="5"/>
        <v>3.5883004496255345E-2</v>
      </c>
      <c r="AR61" s="86">
        <f t="shared" si="5"/>
        <v>2.1949943616688228E-2</v>
      </c>
      <c r="AS61" s="86">
        <f>Y61</f>
        <v>0.22652136247048094</v>
      </c>
      <c r="AT61" s="86">
        <f>AC61</f>
        <v>9.9400000000000002E-2</v>
      </c>
      <c r="AU61" s="86">
        <f>AU54/5993227240*1000</f>
        <v>3.1492214868862542E-2</v>
      </c>
      <c r="AV61" s="86">
        <f>AV54/5993227240*1000</f>
        <v>0.14096328508311326</v>
      </c>
    </row>
    <row r="62" spans="1:48" s="88" customFormat="1" ht="12" thickBot="1" x14ac:dyDescent="0.25">
      <c r="A62" s="85" t="s">
        <v>95</v>
      </c>
      <c r="B62" s="89"/>
      <c r="C62" s="89"/>
      <c r="D62" s="89"/>
      <c r="E62" s="89"/>
      <c r="F62" s="89"/>
      <c r="G62" s="89"/>
      <c r="H62" s="89"/>
      <c r="I62" s="89"/>
      <c r="J62" s="89"/>
      <c r="K62" s="90"/>
      <c r="L62" s="91"/>
      <c r="M62" s="90"/>
      <c r="N62" s="90"/>
      <c r="O62" s="90"/>
      <c r="P62" s="89"/>
      <c r="Q62" s="89"/>
      <c r="R62" s="89"/>
      <c r="S62" s="89"/>
      <c r="T62" s="89"/>
      <c r="U62" s="89"/>
      <c r="V62" s="89"/>
      <c r="W62" s="89"/>
      <c r="X62" s="89"/>
      <c r="Y62" s="89"/>
      <c r="Z62" s="89"/>
      <c r="AA62" s="89"/>
      <c r="AB62" s="89"/>
      <c r="AC62" s="89"/>
      <c r="AD62" s="89"/>
      <c r="AE62" s="89"/>
      <c r="AF62" s="89"/>
      <c r="AG62" s="89"/>
      <c r="AH62" s="89"/>
      <c r="AI62" s="89"/>
      <c r="AJ62" s="89"/>
      <c r="AK62" s="89"/>
      <c r="AL62" s="89"/>
      <c r="AM62" s="89">
        <v>0.1101</v>
      </c>
      <c r="AN62" s="89">
        <v>0.114</v>
      </c>
      <c r="AO62" s="89">
        <v>0.1231</v>
      </c>
      <c r="AP62" s="89">
        <v>7.8600000000000003E-2</v>
      </c>
      <c r="AQ62" s="89">
        <v>7.1247089906772837E-3</v>
      </c>
      <c r="AR62" s="89">
        <v>6.3187992851744423E-2</v>
      </c>
      <c r="AS62" s="89">
        <v>6.2704113318419741E-2</v>
      </c>
      <c r="AT62" s="89">
        <v>1.9300000000000001E-2</v>
      </c>
      <c r="AU62" s="89">
        <v>1.9199999999999998E-2</v>
      </c>
      <c r="AV62" s="89"/>
    </row>
    <row r="63" spans="1:48" x14ac:dyDescent="0.2">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321"/>
      <c r="AQ63" s="321"/>
      <c r="AR63" s="321"/>
      <c r="AS63" s="321"/>
      <c r="AT63" s="321"/>
      <c r="AU63" s="321"/>
      <c r="AV63" s="321"/>
    </row>
    <row r="64" spans="1:48" x14ac:dyDescent="0.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R64" s="92"/>
      <c r="AS64" s="92"/>
      <c r="AT64" s="92"/>
      <c r="AU64" s="92"/>
      <c r="AV64" s="92"/>
    </row>
    <row r="65" spans="1:48" x14ac:dyDescent="0.2">
      <c r="A65" s="93"/>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R65" s="94"/>
      <c r="AS65" s="94"/>
      <c r="AT65" s="94"/>
      <c r="AU65" s="94"/>
      <c r="AV65" s="94"/>
    </row>
    <row r="66" spans="1:48" x14ac:dyDescent="0.2">
      <c r="A66" s="1"/>
    </row>
    <row r="67" spans="1:48" x14ac:dyDescent="0.2">
      <c r="A67" s="1"/>
    </row>
    <row r="68" spans="1:48" x14ac:dyDescent="0.2">
      <c r="A68" s="1"/>
    </row>
    <row r="69" spans="1:48" x14ac:dyDescent="0.2">
      <c r="A69" s="1"/>
    </row>
    <row r="70" spans="1:48" x14ac:dyDescent="0.2">
      <c r="A70" s="1"/>
    </row>
    <row r="71" spans="1:48" x14ac:dyDescent="0.2">
      <c r="A71" s="1"/>
    </row>
    <row r="72" spans="1:48" x14ac:dyDescent="0.2">
      <c r="A72" s="1"/>
    </row>
    <row r="73" spans="1:48" x14ac:dyDescent="0.2">
      <c r="A73" s="1"/>
    </row>
    <row r="74" spans="1:48" x14ac:dyDescent="0.2">
      <c r="A74" s="1"/>
    </row>
    <row r="75" spans="1:48" x14ac:dyDescent="0.2">
      <c r="A75" s="1"/>
    </row>
    <row r="76" spans="1:48" x14ac:dyDescent="0.2">
      <c r="A76" s="1"/>
    </row>
    <row r="77" spans="1:48" x14ac:dyDescent="0.2">
      <c r="A77" s="1"/>
    </row>
    <row r="78" spans="1:48" x14ac:dyDescent="0.2">
      <c r="A78" s="1"/>
    </row>
    <row r="79" spans="1:48" x14ac:dyDescent="0.2">
      <c r="A79" s="1"/>
    </row>
    <row r="80" spans="1:48"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sheetData>
  <phoneticPr fontId="2" type="noConversion"/>
  <pageMargins left="0.25" right="0.25" top="0.75" bottom="0.75" header="0.3" footer="0.3"/>
  <pageSetup paperSize="9" scale="51" orientation="landscape" r:id="rId1"/>
  <headerFooter alignWithMargins="0">
    <oddFooter>&amp;CPage &amp;P of &amp;N&amp;R&amp;F&amp;A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51"/>
  <sheetViews>
    <sheetView showGridLines="0" view="pageBreakPreview" zoomScale="85" zoomScaleNormal="85" zoomScaleSheetLayoutView="85" workbookViewId="0">
      <pane xSplit="1" ySplit="1" topLeftCell="M2" activePane="bottomRight" state="frozen"/>
      <selection pane="topRight" activeCell="B1" sqref="B1"/>
      <selection pane="bottomLeft" activeCell="A2" sqref="A2"/>
      <selection pane="bottomRight" activeCell="AK53" sqref="AK53"/>
    </sheetView>
  </sheetViews>
  <sheetFormatPr defaultRowHeight="11.25" outlineLevelCol="1" x14ac:dyDescent="0.2"/>
  <cols>
    <col min="1" max="1" width="59.85546875" style="88" customWidth="1"/>
    <col min="2" max="3" width="7.7109375" style="111" hidden="1" customWidth="1" outlineLevel="1"/>
    <col min="4" max="5" width="8.5703125" style="111" hidden="1" customWidth="1" outlineLevel="1"/>
    <col min="6" max="6" width="7.7109375" style="111" hidden="1" customWidth="1" outlineLevel="1"/>
    <col min="7" max="8" width="8.7109375" style="111" hidden="1" customWidth="1" outlineLevel="1"/>
    <col min="9" max="9" width="9.85546875" style="111" hidden="1" customWidth="1" outlineLevel="1"/>
    <col min="10" max="10" width="7.7109375" style="111" hidden="1" customWidth="1" outlineLevel="1"/>
    <col min="11" max="12" width="8.5703125" style="111" hidden="1" customWidth="1" outlineLevel="1"/>
    <col min="13" max="13" width="8.5703125" style="111" customWidth="1" collapsed="1"/>
    <col min="14" max="15" width="8.5703125" style="111" hidden="1" customWidth="1" outlineLevel="1"/>
    <col min="16" max="16" width="8.85546875" style="111" hidden="1" customWidth="1" outlineLevel="1"/>
    <col min="17" max="17" width="8.42578125" style="111" customWidth="1" collapsed="1"/>
    <col min="18" max="20" width="8.42578125" style="111" hidden="1" customWidth="1" outlineLevel="1"/>
    <col min="21" max="21" width="8.42578125" style="111" customWidth="1" collapsed="1"/>
    <col min="22" max="24" width="8.42578125" style="111" hidden="1" customWidth="1" outlineLevel="1"/>
    <col min="25" max="25" width="8.42578125" style="111" customWidth="1" collapsed="1"/>
    <col min="26" max="37" width="8.42578125" style="111" customWidth="1"/>
    <col min="38" max="38" width="7.7109375" style="111" customWidth="1"/>
    <col min="39" max="41" width="8.5703125" style="111" customWidth="1"/>
    <col min="42" max="47" width="9.28515625" style="88" bestFit="1" customWidth="1"/>
    <col min="48" max="16384" width="9.140625" style="88"/>
  </cols>
  <sheetData>
    <row r="1" spans="1:47" ht="12" thickBot="1" x14ac:dyDescent="0.25">
      <c r="A1" s="54" t="s">
        <v>146</v>
      </c>
      <c r="B1" s="95" t="s">
        <v>282</v>
      </c>
      <c r="C1" s="95" t="s">
        <v>283</v>
      </c>
      <c r="D1" s="95" t="s">
        <v>284</v>
      </c>
      <c r="E1" s="95" t="s">
        <v>294</v>
      </c>
      <c r="F1" s="95" t="s">
        <v>285</v>
      </c>
      <c r="G1" s="95" t="s">
        <v>286</v>
      </c>
      <c r="H1" s="95" t="s">
        <v>287</v>
      </c>
      <c r="I1" s="95" t="s">
        <v>288</v>
      </c>
      <c r="J1" s="96" t="s">
        <v>289</v>
      </c>
      <c r="K1" s="96" t="s">
        <v>290</v>
      </c>
      <c r="L1" s="56" t="s">
        <v>291</v>
      </c>
      <c r="M1" s="95" t="s">
        <v>292</v>
      </c>
      <c r="N1" s="95" t="s">
        <v>279</v>
      </c>
      <c r="O1" s="95" t="s">
        <v>280</v>
      </c>
      <c r="P1" s="96" t="s">
        <v>281</v>
      </c>
      <c r="Q1" s="96" t="s">
        <v>183</v>
      </c>
      <c r="R1" s="96" t="s">
        <v>187</v>
      </c>
      <c r="S1" s="96" t="s">
        <v>200</v>
      </c>
      <c r="T1" s="56" t="s">
        <v>203</v>
      </c>
      <c r="U1" s="56" t="s">
        <v>206</v>
      </c>
      <c r="V1" s="56" t="s">
        <v>278</v>
      </c>
      <c r="W1" s="96" t="s">
        <v>211</v>
      </c>
      <c r="X1" s="56" t="s">
        <v>213</v>
      </c>
      <c r="Y1" s="56" t="s">
        <v>215</v>
      </c>
      <c r="Z1" s="56" t="s">
        <v>272</v>
      </c>
      <c r="AA1" s="96" t="s">
        <v>227</v>
      </c>
      <c r="AB1" s="56" t="s">
        <v>237</v>
      </c>
      <c r="AC1" s="56" t="s">
        <v>239</v>
      </c>
      <c r="AD1" s="56" t="s">
        <v>273</v>
      </c>
      <c r="AE1" s="96" t="s">
        <v>274</v>
      </c>
      <c r="AF1" s="56" t="s">
        <v>248</v>
      </c>
      <c r="AG1" s="56" t="s">
        <v>255</v>
      </c>
      <c r="AH1" s="56" t="s">
        <v>275</v>
      </c>
      <c r="AI1" s="96" t="s">
        <v>276</v>
      </c>
      <c r="AJ1" s="96" t="s">
        <v>277</v>
      </c>
      <c r="AK1" s="96" t="s">
        <v>295</v>
      </c>
      <c r="AL1" s="96"/>
      <c r="AM1" s="95">
        <v>2006</v>
      </c>
      <c r="AN1" s="95">
        <v>2007</v>
      </c>
      <c r="AO1" s="95">
        <v>2008</v>
      </c>
      <c r="AP1" s="95">
        <v>2009</v>
      </c>
      <c r="AQ1" s="95">
        <v>2010</v>
      </c>
      <c r="AR1" s="95">
        <v>2011</v>
      </c>
      <c r="AS1" s="95">
        <v>2012</v>
      </c>
      <c r="AT1" s="95">
        <v>2013</v>
      </c>
      <c r="AU1" s="95">
        <v>2014</v>
      </c>
    </row>
    <row r="2" spans="1:47" s="101" customFormat="1" x14ac:dyDescent="0.2">
      <c r="A2" s="97" t="s">
        <v>32</v>
      </c>
      <c r="B2" s="98"/>
      <c r="C2" s="97"/>
      <c r="D2" s="97"/>
      <c r="E2" s="97"/>
      <c r="F2" s="97"/>
      <c r="G2" s="97"/>
      <c r="H2" s="97"/>
      <c r="I2" s="97"/>
      <c r="J2" s="99"/>
      <c r="K2" s="99"/>
      <c r="L2" s="100"/>
      <c r="M2" s="100"/>
      <c r="N2" s="100"/>
      <c r="O2" s="100"/>
      <c r="P2" s="99"/>
      <c r="Q2" s="99"/>
      <c r="R2" s="99"/>
      <c r="S2" s="99"/>
      <c r="T2" s="99"/>
      <c r="U2" s="99"/>
      <c r="V2" s="99"/>
      <c r="W2" s="99"/>
      <c r="X2" s="99"/>
      <c r="Y2" s="99"/>
      <c r="Z2" s="99"/>
      <c r="AA2" s="99"/>
      <c r="AB2" s="99"/>
      <c r="AC2" s="99"/>
      <c r="AD2" s="99"/>
      <c r="AE2" s="99"/>
      <c r="AF2" s="99"/>
      <c r="AG2" s="99"/>
      <c r="AH2" s="99"/>
      <c r="AI2" s="99"/>
      <c r="AJ2" s="99"/>
      <c r="AK2" s="99"/>
      <c r="AL2" s="99"/>
      <c r="AM2" s="97"/>
      <c r="AN2" s="97"/>
      <c r="AO2" s="97"/>
      <c r="AP2" s="97"/>
      <c r="AQ2" s="97"/>
      <c r="AR2" s="97"/>
      <c r="AS2" s="97"/>
      <c r="AT2" s="97"/>
      <c r="AU2" s="97"/>
    </row>
    <row r="3" spans="1:47" s="101" customFormat="1" x14ac:dyDescent="0.2">
      <c r="A3" s="102" t="s">
        <v>8</v>
      </c>
      <c r="B3" s="103">
        <v>545903</v>
      </c>
      <c r="C3" s="103">
        <v>943785</v>
      </c>
      <c r="D3" s="103">
        <v>1684719</v>
      </c>
      <c r="E3" s="103">
        <v>2065963</v>
      </c>
      <c r="F3" s="103">
        <v>456617</v>
      </c>
      <c r="G3" s="103">
        <v>1064980</v>
      </c>
      <c r="H3" s="103">
        <v>1657432</v>
      </c>
      <c r="I3" s="103">
        <v>2247283</v>
      </c>
      <c r="J3" s="104">
        <v>617724</v>
      </c>
      <c r="K3" s="104">
        <v>1530816</v>
      </c>
      <c r="L3" s="105">
        <v>2759369</v>
      </c>
      <c r="M3" s="105">
        <v>2278741</v>
      </c>
      <c r="N3" s="105">
        <v>-251672</v>
      </c>
      <c r="O3" s="105">
        <v>-320191</v>
      </c>
      <c r="P3" s="104">
        <v>-175143</v>
      </c>
      <c r="Q3" s="104">
        <v>98096</v>
      </c>
      <c r="R3" s="104">
        <v>107940</v>
      </c>
      <c r="S3" s="104">
        <v>560475</v>
      </c>
      <c r="T3" s="104">
        <v>1081760</v>
      </c>
      <c r="U3" s="104">
        <v>1223978</v>
      </c>
      <c r="V3" s="104">
        <v>380901</v>
      </c>
      <c r="W3" s="104">
        <v>971794</v>
      </c>
      <c r="X3" s="104">
        <v>1191854</v>
      </c>
      <c r="Y3" s="104">
        <v>1315402</v>
      </c>
      <c r="Z3" s="104">
        <v>173628</v>
      </c>
      <c r="AA3" s="104">
        <v>449243</v>
      </c>
      <c r="AB3" s="104">
        <v>615692</v>
      </c>
      <c r="AC3" s="104">
        <v>610433</v>
      </c>
      <c r="AD3" s="104">
        <v>35404</v>
      </c>
      <c r="AE3" s="104">
        <v>68448</v>
      </c>
      <c r="AF3" s="104">
        <v>206821</v>
      </c>
      <c r="AG3" s="104">
        <v>207586</v>
      </c>
      <c r="AH3" s="104">
        <v>172873</v>
      </c>
      <c r="AI3" s="104">
        <v>331399</v>
      </c>
      <c r="AJ3" s="104">
        <v>626887</v>
      </c>
      <c r="AK3" s="104">
        <v>845981</v>
      </c>
      <c r="AL3" s="104"/>
      <c r="AM3" s="103">
        <v>2065963</v>
      </c>
      <c r="AN3" s="103">
        <v>2247283</v>
      </c>
      <c r="AO3" s="103">
        <v>2278741</v>
      </c>
      <c r="AP3" s="103">
        <f>Q3</f>
        <v>98096</v>
      </c>
      <c r="AQ3" s="103">
        <f>U3</f>
        <v>1223978</v>
      </c>
      <c r="AR3" s="103">
        <f>Y3</f>
        <v>1315402</v>
      </c>
      <c r="AS3" s="103">
        <f>AC3</f>
        <v>610433</v>
      </c>
      <c r="AT3" s="104">
        <f>AG3</f>
        <v>207586</v>
      </c>
      <c r="AU3" s="104">
        <f>AK3</f>
        <v>845981</v>
      </c>
    </row>
    <row r="4" spans="1:47" s="101" customFormat="1" x14ac:dyDescent="0.2">
      <c r="A4" s="106" t="s">
        <v>33</v>
      </c>
      <c r="B4" s="103"/>
      <c r="C4" s="103"/>
      <c r="D4" s="103"/>
      <c r="E4" s="103"/>
      <c r="F4" s="103"/>
      <c r="G4" s="103"/>
      <c r="H4" s="103"/>
      <c r="I4" s="103"/>
      <c r="J4" s="104"/>
      <c r="K4" s="104"/>
      <c r="L4" s="105"/>
      <c r="M4" s="105"/>
      <c r="N4" s="105"/>
      <c r="O4" s="105"/>
      <c r="P4" s="104"/>
      <c r="Q4" s="104"/>
      <c r="R4" s="104"/>
      <c r="S4" s="104"/>
      <c r="T4" s="104"/>
      <c r="U4" s="104"/>
      <c r="V4" s="104"/>
      <c r="W4" s="104"/>
      <c r="X4" s="104"/>
      <c r="Y4" s="104"/>
      <c r="Z4" s="104"/>
      <c r="AA4" s="104"/>
      <c r="AB4" s="104"/>
      <c r="AC4" s="104"/>
      <c r="AD4" s="104"/>
      <c r="AE4" s="104"/>
      <c r="AF4" s="104"/>
      <c r="AG4" s="104"/>
      <c r="AH4" s="104"/>
      <c r="AI4" s="104"/>
      <c r="AJ4" s="104"/>
      <c r="AK4" s="104"/>
      <c r="AL4" s="104"/>
      <c r="AM4" s="103"/>
      <c r="AN4" s="103"/>
      <c r="AO4" s="103"/>
      <c r="AP4" s="103"/>
      <c r="AQ4" s="103"/>
      <c r="AR4" s="103"/>
      <c r="AS4" s="103"/>
      <c r="AT4" s="104"/>
      <c r="AU4" s="104"/>
    </row>
    <row r="5" spans="1:47" s="101" customFormat="1" x14ac:dyDescent="0.2">
      <c r="A5" s="98" t="s">
        <v>7</v>
      </c>
      <c r="B5" s="107">
        <v>4819</v>
      </c>
      <c r="C5" s="107">
        <v>11900</v>
      </c>
      <c r="D5" s="107">
        <v>15807</v>
      </c>
      <c r="E5" s="107">
        <v>25773</v>
      </c>
      <c r="F5" s="107">
        <v>6838</v>
      </c>
      <c r="G5" s="107">
        <v>13148</v>
      </c>
      <c r="H5" s="107">
        <v>19518</v>
      </c>
      <c r="I5" s="107">
        <v>24592</v>
      </c>
      <c r="J5" s="108">
        <v>9094</v>
      </c>
      <c r="K5" s="108">
        <v>27422</v>
      </c>
      <c r="L5" s="109">
        <v>101370</v>
      </c>
      <c r="M5" s="109">
        <v>-1730</v>
      </c>
      <c r="N5" s="109"/>
      <c r="O5" s="109"/>
      <c r="P5" s="108"/>
      <c r="Q5" s="108"/>
      <c r="R5" s="108"/>
      <c r="S5" s="108"/>
      <c r="T5" s="108"/>
      <c r="U5" s="108"/>
      <c r="V5" s="108"/>
      <c r="W5" s="108"/>
      <c r="X5" s="108"/>
      <c r="Y5" s="108"/>
      <c r="Z5" s="108"/>
      <c r="AA5" s="108"/>
      <c r="AB5" s="108"/>
      <c r="AC5" s="108"/>
      <c r="AD5" s="108"/>
      <c r="AE5" s="108"/>
      <c r="AF5" s="108"/>
      <c r="AG5" s="108"/>
      <c r="AH5" s="108"/>
      <c r="AI5" s="108"/>
      <c r="AJ5" s="108"/>
      <c r="AK5" s="108"/>
      <c r="AL5" s="108"/>
      <c r="AM5" s="107">
        <v>25773</v>
      </c>
      <c r="AN5" s="107">
        <v>24592</v>
      </c>
      <c r="AO5" s="107">
        <v>-1730</v>
      </c>
      <c r="AP5" s="107"/>
      <c r="AQ5" s="107"/>
      <c r="AR5" s="107"/>
      <c r="AS5" s="107"/>
      <c r="AT5" s="108"/>
      <c r="AU5" s="108"/>
    </row>
    <row r="6" spans="1:47" s="101" customFormat="1" x14ac:dyDescent="0.2">
      <c r="A6" s="98" t="s">
        <v>34</v>
      </c>
      <c r="B6" s="107">
        <v>73701</v>
      </c>
      <c r="C6" s="107">
        <v>158305</v>
      </c>
      <c r="D6" s="107">
        <v>250018</v>
      </c>
      <c r="E6" s="107">
        <v>357941</v>
      </c>
      <c r="F6" s="107">
        <v>102342</v>
      </c>
      <c r="G6" s="107">
        <v>197752</v>
      </c>
      <c r="H6" s="107">
        <v>297161</v>
      </c>
      <c r="I6" s="107">
        <v>407699</v>
      </c>
      <c r="J6" s="108">
        <v>119354</v>
      </c>
      <c r="K6" s="108">
        <v>245884</v>
      </c>
      <c r="L6" s="109">
        <v>379690</v>
      </c>
      <c r="M6" s="109">
        <v>498994</v>
      </c>
      <c r="N6" s="109">
        <v>96625</v>
      </c>
      <c r="O6" s="109">
        <v>222745</v>
      </c>
      <c r="P6" s="108">
        <v>348684</v>
      </c>
      <c r="Q6" s="108">
        <v>478116</v>
      </c>
      <c r="R6" s="108">
        <v>122995</v>
      </c>
      <c r="S6" s="108">
        <v>245892</v>
      </c>
      <c r="T6" s="108">
        <v>357160</v>
      </c>
      <c r="U6" s="108">
        <v>469418</v>
      </c>
      <c r="V6" s="108">
        <v>124044</v>
      </c>
      <c r="W6" s="108">
        <v>258638</v>
      </c>
      <c r="X6" s="108">
        <v>459988</v>
      </c>
      <c r="Y6" s="108">
        <v>588707</v>
      </c>
      <c r="Z6" s="108">
        <v>177090</v>
      </c>
      <c r="AA6" s="108">
        <v>348024</v>
      </c>
      <c r="AB6" s="108">
        <v>569121</v>
      </c>
      <c r="AC6" s="108">
        <v>767715</v>
      </c>
      <c r="AD6" s="108">
        <v>207249</v>
      </c>
      <c r="AE6" s="108">
        <v>426928</v>
      </c>
      <c r="AF6" s="108">
        <v>656430</v>
      </c>
      <c r="AG6" s="108">
        <v>861516</v>
      </c>
      <c r="AH6" s="108">
        <v>199214</v>
      </c>
      <c r="AI6" s="108">
        <v>411425</v>
      </c>
      <c r="AJ6" s="108">
        <v>619742</v>
      </c>
      <c r="AK6" s="108">
        <v>784991</v>
      </c>
      <c r="AL6" s="108"/>
      <c r="AM6" s="107">
        <v>357941</v>
      </c>
      <c r="AN6" s="107">
        <v>407699</v>
      </c>
      <c r="AO6" s="107">
        <v>498994</v>
      </c>
      <c r="AP6" s="107">
        <f>Q6</f>
        <v>478116</v>
      </c>
      <c r="AQ6" s="107">
        <f>U6</f>
        <v>469418</v>
      </c>
      <c r="AR6" s="107">
        <f>Y6</f>
        <v>588707</v>
      </c>
      <c r="AS6" s="107">
        <f>AC6</f>
        <v>767715</v>
      </c>
      <c r="AT6" s="108">
        <f>AG6</f>
        <v>861516</v>
      </c>
      <c r="AU6" s="108">
        <f>AK6</f>
        <v>784991</v>
      </c>
    </row>
    <row r="7" spans="1:47" s="101" customFormat="1" x14ac:dyDescent="0.2">
      <c r="A7" s="98" t="s">
        <v>35</v>
      </c>
      <c r="B7" s="107">
        <v>1492</v>
      </c>
      <c r="C7" s="107">
        <v>2719</v>
      </c>
      <c r="D7" s="107">
        <v>4763</v>
      </c>
      <c r="E7" s="107">
        <v>3582</v>
      </c>
      <c r="F7" s="107">
        <v>12609</v>
      </c>
      <c r="G7" s="107">
        <v>19791</v>
      </c>
      <c r="H7" s="107">
        <v>24575</v>
      </c>
      <c r="I7" s="107">
        <v>27285</v>
      </c>
      <c r="J7" s="108">
        <v>-6097</v>
      </c>
      <c r="K7" s="108">
        <v>580</v>
      </c>
      <c r="L7" s="109">
        <v>18556</v>
      </c>
      <c r="M7" s="109">
        <v>9594</v>
      </c>
      <c r="N7" s="109">
        <v>2104</v>
      </c>
      <c r="O7" s="109">
        <v>8059</v>
      </c>
      <c r="P7" s="108">
        <v>13132</v>
      </c>
      <c r="Q7" s="108">
        <v>4420</v>
      </c>
      <c r="R7" s="108">
        <v>1927</v>
      </c>
      <c r="S7" s="108">
        <v>13609</v>
      </c>
      <c r="T7" s="108">
        <v>17919</v>
      </c>
      <c r="U7" s="108">
        <v>9657</v>
      </c>
      <c r="V7" s="108">
        <v>5867</v>
      </c>
      <c r="W7" s="108">
        <v>22239</v>
      </c>
      <c r="X7" s="108">
        <v>23234</v>
      </c>
      <c r="Y7" s="108">
        <v>29293</v>
      </c>
      <c r="Z7" s="108">
        <v>116</v>
      </c>
      <c r="AA7" s="108">
        <v>37461</v>
      </c>
      <c r="AB7" s="108">
        <v>37566</v>
      </c>
      <c r="AC7" s="108">
        <v>38051</v>
      </c>
      <c r="AD7" s="108">
        <v>1517</v>
      </c>
      <c r="AE7" s="108">
        <v>5623</v>
      </c>
      <c r="AF7" s="108">
        <v>16888</v>
      </c>
      <c r="AG7" s="108">
        <v>22413</v>
      </c>
      <c r="AH7" s="108">
        <v>477</v>
      </c>
      <c r="AI7" s="108">
        <v>3794</v>
      </c>
      <c r="AJ7" s="108">
        <v>12268</v>
      </c>
      <c r="AK7" s="108">
        <v>2943</v>
      </c>
      <c r="AL7" s="108"/>
      <c r="AM7" s="107">
        <v>3582</v>
      </c>
      <c r="AN7" s="107">
        <v>27285</v>
      </c>
      <c r="AO7" s="107">
        <v>9594</v>
      </c>
      <c r="AP7" s="107">
        <f>Q7</f>
        <v>4420</v>
      </c>
      <c r="AQ7" s="107">
        <f>U7</f>
        <v>9657</v>
      </c>
      <c r="AR7" s="107">
        <f>Y7</f>
        <v>29293</v>
      </c>
      <c r="AS7" s="107">
        <f>AC7</f>
        <v>38051</v>
      </c>
      <c r="AT7" s="108">
        <f>AG7</f>
        <v>22413</v>
      </c>
      <c r="AU7" s="108">
        <f>AK7</f>
        <v>2943</v>
      </c>
    </row>
    <row r="8" spans="1:47" s="110" customFormat="1" x14ac:dyDescent="0.2">
      <c r="A8" s="98" t="s">
        <v>36</v>
      </c>
      <c r="B8" s="107">
        <v>-383759</v>
      </c>
      <c r="C8" s="107">
        <v>-390463</v>
      </c>
      <c r="D8" s="107">
        <v>-395341</v>
      </c>
      <c r="E8" s="107">
        <v>-400696</v>
      </c>
      <c r="F8" s="107">
        <v>1492</v>
      </c>
      <c r="G8" s="107">
        <v>3442</v>
      </c>
      <c r="H8" s="107">
        <v>3542</v>
      </c>
      <c r="I8" s="107">
        <v>23522</v>
      </c>
      <c r="J8" s="108">
        <v>-6421</v>
      </c>
      <c r="K8" s="108">
        <v>-3948</v>
      </c>
      <c r="L8" s="109">
        <v>-25243</v>
      </c>
      <c r="M8" s="109">
        <v>21319</v>
      </c>
      <c r="N8" s="109">
        <v>1472</v>
      </c>
      <c r="O8" s="109">
        <v>1580</v>
      </c>
      <c r="P8" s="108">
        <v>1862</v>
      </c>
      <c r="Q8" s="108">
        <v>10904</v>
      </c>
      <c r="R8" s="108">
        <v>1312</v>
      </c>
      <c r="S8" s="108">
        <v>7888</v>
      </c>
      <c r="T8" s="108">
        <v>10384</v>
      </c>
      <c r="U8" s="108">
        <v>27991</v>
      </c>
      <c r="V8" s="108">
        <v>3330</v>
      </c>
      <c r="W8" s="108">
        <v>13288</v>
      </c>
      <c r="X8" s="108">
        <v>-68981</v>
      </c>
      <c r="Y8" s="108">
        <v>-11922</v>
      </c>
      <c r="Z8" s="108">
        <v>-173</v>
      </c>
      <c r="AA8" s="108">
        <v>946</v>
      </c>
      <c r="AB8" s="108">
        <v>159</v>
      </c>
      <c r="AC8" s="108">
        <v>2828</v>
      </c>
      <c r="AD8" s="108">
        <v>735</v>
      </c>
      <c r="AE8" s="108">
        <v>3535</v>
      </c>
      <c r="AF8" s="108">
        <v>-22958</v>
      </c>
      <c r="AG8" s="108">
        <v>-21124</v>
      </c>
      <c r="AH8" s="108">
        <v>249</v>
      </c>
      <c r="AI8" s="108">
        <v>-3655</v>
      </c>
      <c r="AJ8" s="108">
        <v>-41265</v>
      </c>
      <c r="AK8" s="108">
        <v>-37404</v>
      </c>
      <c r="AL8" s="108"/>
      <c r="AM8" s="107">
        <v>-400696</v>
      </c>
      <c r="AN8" s="107">
        <v>23522</v>
      </c>
      <c r="AO8" s="107">
        <v>21319</v>
      </c>
      <c r="AP8" s="107">
        <f>Q8</f>
        <v>10904</v>
      </c>
      <c r="AQ8" s="107">
        <f>U8</f>
        <v>27991</v>
      </c>
      <c r="AR8" s="107">
        <f>Y8</f>
        <v>-11922</v>
      </c>
      <c r="AS8" s="107">
        <f>AC8</f>
        <v>2828</v>
      </c>
      <c r="AT8" s="108">
        <f>AG8</f>
        <v>-21124</v>
      </c>
      <c r="AU8" s="108">
        <f>AK8</f>
        <v>-37404</v>
      </c>
    </row>
    <row r="9" spans="1:47" s="110" customFormat="1" x14ac:dyDescent="0.2">
      <c r="A9" s="98" t="s">
        <v>80</v>
      </c>
      <c r="B9" s="107"/>
      <c r="C9" s="107"/>
      <c r="D9" s="107"/>
      <c r="E9" s="107"/>
      <c r="F9" s="107"/>
      <c r="G9" s="107"/>
      <c r="H9" s="107"/>
      <c r="I9" s="107"/>
      <c r="J9" s="108"/>
      <c r="K9" s="108"/>
      <c r="L9" s="109"/>
      <c r="M9" s="109"/>
      <c r="N9" s="109"/>
      <c r="O9" s="109"/>
      <c r="P9" s="108"/>
      <c r="Q9" s="108"/>
      <c r="R9" s="108"/>
      <c r="S9" s="108"/>
      <c r="T9" s="108"/>
      <c r="U9" s="108"/>
      <c r="V9" s="108"/>
      <c r="W9" s="108"/>
      <c r="X9" s="108"/>
      <c r="Y9" s="108"/>
      <c r="Z9" s="108"/>
      <c r="AA9" s="108"/>
      <c r="AB9" s="108"/>
      <c r="AC9" s="108">
        <v>68462</v>
      </c>
      <c r="AD9" s="108">
        <v>-10040</v>
      </c>
      <c r="AE9" s="108">
        <v>-21964</v>
      </c>
      <c r="AF9" s="108">
        <v>-32063</v>
      </c>
      <c r="AG9" s="108">
        <v>-40241</v>
      </c>
      <c r="AH9" s="108">
        <v>-6927</v>
      </c>
      <c r="AI9" s="108">
        <v>-15585</v>
      </c>
      <c r="AJ9" s="108">
        <v>-26272</v>
      </c>
      <c r="AK9" s="108">
        <v>-36494</v>
      </c>
      <c r="AL9" s="108"/>
      <c r="AM9" s="107"/>
      <c r="AN9" s="107"/>
      <c r="AO9" s="107"/>
      <c r="AP9" s="107"/>
      <c r="AQ9" s="107"/>
      <c r="AR9" s="107"/>
      <c r="AS9" s="107">
        <f>AC9</f>
        <v>68462</v>
      </c>
      <c r="AT9" s="108">
        <f>AG9</f>
        <v>-40241</v>
      </c>
      <c r="AU9" s="108">
        <f>AK9</f>
        <v>-36494</v>
      </c>
    </row>
    <row r="10" spans="1:47" s="110" customFormat="1" x14ac:dyDescent="0.2">
      <c r="A10" s="98" t="s">
        <v>81</v>
      </c>
      <c r="B10" s="107"/>
      <c r="C10" s="107"/>
      <c r="D10" s="107"/>
      <c r="E10" s="107"/>
      <c r="F10" s="107"/>
      <c r="G10" s="107"/>
      <c r="H10" s="107"/>
      <c r="I10" s="107"/>
      <c r="J10" s="108"/>
      <c r="K10" s="108"/>
      <c r="L10" s="109"/>
      <c r="M10" s="109"/>
      <c r="N10" s="109"/>
      <c r="O10" s="109"/>
      <c r="P10" s="108"/>
      <c r="Q10" s="108"/>
      <c r="R10" s="108"/>
      <c r="S10" s="108"/>
      <c r="T10" s="108"/>
      <c r="U10" s="108"/>
      <c r="V10" s="108"/>
      <c r="W10" s="108"/>
      <c r="X10" s="108"/>
      <c r="Y10" s="108"/>
      <c r="Z10" s="108"/>
      <c r="AA10" s="108"/>
      <c r="AB10" s="108"/>
      <c r="AC10" s="108"/>
      <c r="AD10" s="108">
        <v>30768</v>
      </c>
      <c r="AE10" s="108">
        <v>58041</v>
      </c>
      <c r="AF10" s="108">
        <v>80380</v>
      </c>
      <c r="AG10" s="108">
        <v>113869</v>
      </c>
      <c r="AH10" s="108">
        <v>32145</v>
      </c>
      <c r="AI10" s="108">
        <v>65264</v>
      </c>
      <c r="AJ10" s="108">
        <v>99194</v>
      </c>
      <c r="AK10" s="108">
        <v>126820</v>
      </c>
      <c r="AL10" s="108"/>
      <c r="AM10" s="107"/>
      <c r="AN10" s="107"/>
      <c r="AO10" s="107"/>
      <c r="AP10" s="107"/>
      <c r="AQ10" s="107"/>
      <c r="AR10" s="107"/>
      <c r="AS10" s="107"/>
      <c r="AT10" s="108">
        <f>AG10</f>
        <v>113869</v>
      </c>
      <c r="AU10" s="108">
        <f>AK10</f>
        <v>126820</v>
      </c>
    </row>
    <row r="11" spans="1:47" s="101" customFormat="1" x14ac:dyDescent="0.2">
      <c r="A11" s="98" t="s">
        <v>37</v>
      </c>
      <c r="B11" s="107"/>
      <c r="C11" s="107"/>
      <c r="D11" s="107">
        <v>-226706</v>
      </c>
      <c r="E11" s="107">
        <v>-227524</v>
      </c>
      <c r="F11" s="107"/>
      <c r="G11" s="107">
        <v>-81511</v>
      </c>
      <c r="H11" s="107">
        <v>-82116</v>
      </c>
      <c r="I11" s="107">
        <v>-83122</v>
      </c>
      <c r="J11" s="108"/>
      <c r="K11" s="108"/>
      <c r="L11" s="109"/>
      <c r="M11" s="109"/>
      <c r="N11" s="109"/>
      <c r="O11" s="109"/>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7">
        <v>-227524</v>
      </c>
      <c r="AN11" s="107">
        <v>-83122</v>
      </c>
      <c r="AO11" s="107"/>
      <c r="AP11" s="107"/>
      <c r="AQ11" s="107"/>
      <c r="AR11" s="107"/>
      <c r="AS11" s="107"/>
      <c r="AT11" s="108"/>
      <c r="AU11" s="108"/>
    </row>
    <row r="12" spans="1:47" x14ac:dyDescent="0.2">
      <c r="A12" s="98" t="s">
        <v>38</v>
      </c>
      <c r="B12" s="107"/>
      <c r="C12" s="107"/>
      <c r="F12" s="107"/>
      <c r="H12" s="107">
        <v>-1245</v>
      </c>
      <c r="I12" s="107">
        <v>-1261</v>
      </c>
      <c r="J12" s="108"/>
      <c r="K12" s="108"/>
      <c r="L12" s="109"/>
      <c r="M12" s="109"/>
      <c r="N12" s="109"/>
      <c r="O12" s="109"/>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7"/>
      <c r="AN12" s="107">
        <v>-1261</v>
      </c>
      <c r="AO12" s="107"/>
      <c r="AP12" s="107"/>
      <c r="AQ12" s="107"/>
      <c r="AR12" s="107"/>
      <c r="AS12" s="107"/>
      <c r="AT12" s="108"/>
      <c r="AU12" s="108"/>
    </row>
    <row r="13" spans="1:47" x14ac:dyDescent="0.2">
      <c r="A13" s="98" t="s">
        <v>39</v>
      </c>
      <c r="B13" s="107">
        <v>-483</v>
      </c>
      <c r="C13" s="107">
        <v>-492</v>
      </c>
      <c r="D13" s="107">
        <v>-497</v>
      </c>
      <c r="E13" s="107">
        <v>-501</v>
      </c>
      <c r="F13" s="107">
        <v>-10180</v>
      </c>
      <c r="G13" s="107">
        <v>-7729</v>
      </c>
      <c r="H13" s="107">
        <v>25829</v>
      </c>
      <c r="I13" s="107">
        <v>50312</v>
      </c>
      <c r="J13" s="108">
        <v>7841</v>
      </c>
      <c r="K13" s="108">
        <v>-42774</v>
      </c>
      <c r="L13" s="109">
        <v>-62009</v>
      </c>
      <c r="M13" s="109">
        <v>151212</v>
      </c>
      <c r="N13" s="109">
        <v>142638</v>
      </c>
      <c r="O13" s="109">
        <v>258805</v>
      </c>
      <c r="P13" s="108">
        <v>344093</v>
      </c>
      <c r="Q13" s="108">
        <v>314860</v>
      </c>
      <c r="R13" s="108">
        <v>26716</v>
      </c>
      <c r="S13" s="108">
        <v>5582</v>
      </c>
      <c r="T13" s="108">
        <v>18862</v>
      </c>
      <c r="U13" s="108">
        <v>107338</v>
      </c>
      <c r="V13" s="108">
        <v>-15421</v>
      </c>
      <c r="W13" s="108">
        <v>-53260</v>
      </c>
      <c r="X13" s="108">
        <v>-54048</v>
      </c>
      <c r="Y13" s="108">
        <v>-54272</v>
      </c>
      <c r="Z13" s="108">
        <v>-87</v>
      </c>
      <c r="AA13" s="108">
        <v>-349</v>
      </c>
      <c r="AB13" s="108">
        <v>-333</v>
      </c>
      <c r="AC13" s="108">
        <v>-276</v>
      </c>
      <c r="AD13" s="108">
        <v>-77</v>
      </c>
      <c r="AE13" s="108">
        <v>-151</v>
      </c>
      <c r="AF13" s="108">
        <v>-221</v>
      </c>
      <c r="AG13" s="108">
        <v>53958</v>
      </c>
      <c r="AH13" s="108">
        <v>44494</v>
      </c>
      <c r="AI13" s="108">
        <v>104945</v>
      </c>
      <c r="AJ13" s="108">
        <v>146196</v>
      </c>
      <c r="AK13" s="108">
        <v>193034</v>
      </c>
      <c r="AL13" s="108"/>
      <c r="AM13" s="107">
        <v>-501</v>
      </c>
      <c r="AN13" s="107">
        <v>50312</v>
      </c>
      <c r="AO13" s="107">
        <v>151212</v>
      </c>
      <c r="AP13" s="107">
        <f>Q13</f>
        <v>314860</v>
      </c>
      <c r="AQ13" s="107">
        <f>U13</f>
        <v>107338</v>
      </c>
      <c r="AR13" s="107">
        <f>Y13</f>
        <v>-54272</v>
      </c>
      <c r="AS13" s="107">
        <f>AC13</f>
        <v>-276</v>
      </c>
      <c r="AT13" s="108">
        <f>AG13</f>
        <v>53958</v>
      </c>
      <c r="AU13" s="108">
        <f>AK13</f>
        <v>193034</v>
      </c>
    </row>
    <row r="14" spans="1:47" s="112" customFormat="1" x14ac:dyDescent="0.2">
      <c r="A14" s="98" t="s">
        <v>175</v>
      </c>
      <c r="B14" s="107">
        <v>-6857</v>
      </c>
      <c r="C14" s="107">
        <v>-7343</v>
      </c>
      <c r="D14" s="107">
        <v>-13470</v>
      </c>
      <c r="E14" s="107">
        <v>-38732</v>
      </c>
      <c r="F14" s="107">
        <v>40613</v>
      </c>
      <c r="G14" s="107">
        <v>47524</v>
      </c>
      <c r="H14" s="107">
        <v>57045</v>
      </c>
      <c r="I14" s="107">
        <v>37925</v>
      </c>
      <c r="J14" s="108">
        <v>-70379</v>
      </c>
      <c r="K14" s="108">
        <v>-63206</v>
      </c>
      <c r="L14" s="109">
        <v>-91922</v>
      </c>
      <c r="M14" s="109">
        <v>-259446</v>
      </c>
      <c r="N14" s="109">
        <v>-26778</v>
      </c>
      <c r="O14" s="109">
        <v>-22598</v>
      </c>
      <c r="P14" s="108">
        <v>36829</v>
      </c>
      <c r="Q14" s="108">
        <v>34442</v>
      </c>
      <c r="R14" s="108">
        <v>8137</v>
      </c>
      <c r="S14" s="108">
        <v>18444</v>
      </c>
      <c r="T14" s="108">
        <v>27783</v>
      </c>
      <c r="U14" s="108">
        <v>33790</v>
      </c>
      <c r="V14" s="108">
        <v>11489</v>
      </c>
      <c r="W14" s="108">
        <v>5968</v>
      </c>
      <c r="X14" s="108">
        <v>34284</v>
      </c>
      <c r="Y14" s="108">
        <v>45643</v>
      </c>
      <c r="Z14" s="108">
        <v>-5453</v>
      </c>
      <c r="AA14" s="108">
        <v>-5250</v>
      </c>
      <c r="AB14" s="108">
        <v>-2170</v>
      </c>
      <c r="AC14" s="108">
        <v>20933</v>
      </c>
      <c r="AD14" s="108">
        <v>-39903</v>
      </c>
      <c r="AE14" s="108">
        <v>735</v>
      </c>
      <c r="AF14" s="108">
        <v>20283</v>
      </c>
      <c r="AG14" s="108">
        <v>80867</v>
      </c>
      <c r="AH14" s="108">
        <v>-8041</v>
      </c>
      <c r="AI14" s="108">
        <v>19455</v>
      </c>
      <c r="AJ14" s="108">
        <v>19517</v>
      </c>
      <c r="AK14" s="108">
        <v>40427</v>
      </c>
      <c r="AL14" s="108"/>
      <c r="AM14" s="107">
        <v>-38732</v>
      </c>
      <c r="AN14" s="107">
        <v>37925</v>
      </c>
      <c r="AO14" s="107">
        <v>-259446</v>
      </c>
      <c r="AP14" s="107">
        <f>Q14</f>
        <v>34442</v>
      </c>
      <c r="AQ14" s="107">
        <f>U14</f>
        <v>33790</v>
      </c>
      <c r="AR14" s="107">
        <f>Y14</f>
        <v>45643</v>
      </c>
      <c r="AS14" s="107">
        <f>AC14</f>
        <v>20933</v>
      </c>
      <c r="AT14" s="108">
        <f>AG14</f>
        <v>80867</v>
      </c>
      <c r="AU14" s="108">
        <f>AK14</f>
        <v>40427</v>
      </c>
    </row>
    <row r="15" spans="1:47" x14ac:dyDescent="0.2">
      <c r="A15" s="113" t="s">
        <v>40</v>
      </c>
      <c r="B15" s="114"/>
      <c r="C15" s="114"/>
      <c r="D15" s="114"/>
      <c r="E15" s="114">
        <v>136916</v>
      </c>
      <c r="F15" s="114"/>
      <c r="G15" s="114"/>
      <c r="H15" s="114"/>
      <c r="I15" s="114"/>
      <c r="J15" s="115"/>
      <c r="K15" s="115"/>
      <c r="L15" s="115"/>
      <c r="M15" s="115">
        <v>128389</v>
      </c>
      <c r="N15" s="115"/>
      <c r="O15" s="115"/>
      <c r="P15" s="115"/>
      <c r="Q15" s="115">
        <v>43662</v>
      </c>
      <c r="R15" s="115"/>
      <c r="S15" s="115"/>
      <c r="T15" s="115"/>
      <c r="U15" s="115">
        <v>58179</v>
      </c>
      <c r="V15" s="115"/>
      <c r="W15" s="115"/>
      <c r="X15" s="115"/>
      <c r="Y15" s="115"/>
      <c r="Z15" s="115"/>
      <c r="AA15" s="115"/>
      <c r="AB15" s="115"/>
      <c r="AC15" s="115"/>
      <c r="AD15" s="115"/>
      <c r="AE15" s="115"/>
      <c r="AF15" s="115"/>
      <c r="AG15" s="115"/>
      <c r="AH15" s="115"/>
      <c r="AI15" s="115"/>
      <c r="AJ15" s="115">
        <v>82635</v>
      </c>
      <c r="AK15" s="115">
        <v>438924</v>
      </c>
      <c r="AL15" s="115"/>
      <c r="AM15" s="114">
        <v>136916</v>
      </c>
      <c r="AN15" s="114"/>
      <c r="AO15" s="114">
        <v>128389</v>
      </c>
      <c r="AP15" s="114">
        <f>Q15</f>
        <v>43662</v>
      </c>
      <c r="AQ15" s="114">
        <f>U15</f>
        <v>58179</v>
      </c>
      <c r="AR15" s="114"/>
      <c r="AS15" s="114"/>
      <c r="AT15" s="115"/>
      <c r="AU15" s="108">
        <f>AK15</f>
        <v>438924</v>
      </c>
    </row>
    <row r="16" spans="1:47" x14ac:dyDescent="0.2">
      <c r="A16" s="116" t="s">
        <v>167</v>
      </c>
      <c r="B16" s="114"/>
      <c r="C16" s="114"/>
      <c r="D16" s="114"/>
      <c r="E16" s="114">
        <v>-6125</v>
      </c>
      <c r="F16" s="114"/>
      <c r="G16" s="114"/>
      <c r="H16" s="114"/>
      <c r="I16" s="114">
        <v>-58708</v>
      </c>
      <c r="J16" s="115"/>
      <c r="K16" s="115"/>
      <c r="L16" s="115"/>
      <c r="M16" s="115">
        <v>653297</v>
      </c>
      <c r="N16" s="115">
        <v>16780</v>
      </c>
      <c r="O16" s="115">
        <v>-136919</v>
      </c>
      <c r="P16" s="115">
        <v>-315096</v>
      </c>
      <c r="Q16" s="115">
        <v>-470930</v>
      </c>
      <c r="R16" s="115">
        <v>-4435</v>
      </c>
      <c r="S16" s="115">
        <v>-920</v>
      </c>
      <c r="T16" s="115">
        <v>-3230</v>
      </c>
      <c r="U16" s="115">
        <v>-4225</v>
      </c>
      <c r="V16" s="115">
        <v>-7591</v>
      </c>
      <c r="W16" s="115">
        <v>4819</v>
      </c>
      <c r="X16" s="115">
        <v>4819</v>
      </c>
      <c r="Y16" s="115">
        <v>4819</v>
      </c>
      <c r="Z16" s="115"/>
      <c r="AA16" s="115">
        <v>-409</v>
      </c>
      <c r="AB16" s="115">
        <v>-7184</v>
      </c>
      <c r="AC16" s="115">
        <v>-8522</v>
      </c>
      <c r="AD16" s="115">
        <v>-6478</v>
      </c>
      <c r="AE16" s="115">
        <v>8234</v>
      </c>
      <c r="AF16" s="115">
        <v>-7292</v>
      </c>
      <c r="AG16" s="115">
        <v>-455</v>
      </c>
      <c r="AH16" s="115">
        <v>6035</v>
      </c>
      <c r="AI16" s="115">
        <v>2116</v>
      </c>
      <c r="AJ16" s="115">
        <v>12884</v>
      </c>
      <c r="AK16" s="115">
        <v>3110</v>
      </c>
      <c r="AL16" s="115"/>
      <c r="AM16" s="114">
        <v>-6125</v>
      </c>
      <c r="AN16" s="114">
        <v>-58708</v>
      </c>
      <c r="AO16" s="114">
        <v>653297</v>
      </c>
      <c r="AP16" s="114">
        <f>Q16</f>
        <v>-470930</v>
      </c>
      <c r="AQ16" s="114">
        <f>U16</f>
        <v>-4225</v>
      </c>
      <c r="AR16" s="114">
        <f>Y16</f>
        <v>4819</v>
      </c>
      <c r="AS16" s="114">
        <f>AC16</f>
        <v>-8522</v>
      </c>
      <c r="AT16" s="115">
        <f>AG16</f>
        <v>-455</v>
      </c>
      <c r="AU16" s="115">
        <f>AK16</f>
        <v>3110</v>
      </c>
    </row>
    <row r="17" spans="1:47" x14ac:dyDescent="0.2">
      <c r="A17" s="116" t="s">
        <v>168</v>
      </c>
      <c r="B17" s="114"/>
      <c r="C17" s="114"/>
      <c r="D17" s="114"/>
      <c r="E17" s="114"/>
      <c r="F17" s="114"/>
      <c r="G17" s="114"/>
      <c r="H17" s="114"/>
      <c r="I17" s="114"/>
      <c r="J17" s="115"/>
      <c r="K17" s="115"/>
      <c r="L17" s="115"/>
      <c r="M17" s="115">
        <v>234000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4"/>
      <c r="AN17" s="114"/>
      <c r="AO17" s="114">
        <v>234000</v>
      </c>
      <c r="AP17" s="114"/>
      <c r="AQ17" s="114"/>
      <c r="AR17" s="114"/>
      <c r="AS17" s="114"/>
      <c r="AT17" s="115"/>
      <c r="AU17" s="115"/>
    </row>
    <row r="18" spans="1:47" x14ac:dyDescent="0.2">
      <c r="A18" s="116" t="s">
        <v>41</v>
      </c>
      <c r="B18" s="114"/>
      <c r="C18" s="114"/>
      <c r="D18" s="114"/>
      <c r="E18" s="114">
        <v>19765</v>
      </c>
      <c r="F18" s="114">
        <v>6019</v>
      </c>
      <c r="G18" s="114">
        <v>6070</v>
      </c>
      <c r="H18" s="114">
        <v>6115</v>
      </c>
      <c r="I18" s="114">
        <v>6190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4">
        <v>19765</v>
      </c>
      <c r="AN18" s="114">
        <v>6190</v>
      </c>
      <c r="AO18" s="114"/>
      <c r="AP18" s="114"/>
      <c r="AQ18" s="114"/>
      <c r="AR18" s="114"/>
      <c r="AS18" s="114"/>
      <c r="AT18" s="115"/>
      <c r="AU18" s="115"/>
    </row>
    <row r="19" spans="1:47" x14ac:dyDescent="0.2">
      <c r="A19" s="116" t="s">
        <v>169</v>
      </c>
      <c r="B19" s="114"/>
      <c r="C19" s="114"/>
      <c r="D19" s="114"/>
      <c r="E19" s="114"/>
      <c r="F19" s="114"/>
      <c r="G19" s="114"/>
      <c r="H19" s="114"/>
      <c r="I19" s="114"/>
      <c r="J19" s="115"/>
      <c r="K19" s="115"/>
      <c r="L19" s="115"/>
      <c r="M19" s="115">
        <v>-11431</v>
      </c>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4"/>
      <c r="AN19" s="114"/>
      <c r="AO19" s="114">
        <v>-11431</v>
      </c>
      <c r="AP19" s="114"/>
      <c r="AQ19" s="114"/>
      <c r="AR19" s="114"/>
      <c r="AS19" s="114"/>
      <c r="AT19" s="115"/>
      <c r="AU19" s="115"/>
    </row>
    <row r="20" spans="1:47" s="117" customFormat="1" x14ac:dyDescent="0.2">
      <c r="A20" s="113" t="s">
        <v>42</v>
      </c>
      <c r="B20" s="114">
        <v>14867</v>
      </c>
      <c r="C20" s="114">
        <v>21558</v>
      </c>
      <c r="D20" s="114">
        <v>27103</v>
      </c>
      <c r="E20" s="114">
        <v>21386</v>
      </c>
      <c r="F20" s="114">
        <v>-2591</v>
      </c>
      <c r="G20" s="114">
        <v>-1510</v>
      </c>
      <c r="H20" s="114">
        <v>4441</v>
      </c>
      <c r="I20" s="114">
        <v>16348</v>
      </c>
      <c r="J20" s="115">
        <v>4600</v>
      </c>
      <c r="K20" s="115">
        <v>47734</v>
      </c>
      <c r="L20" s="115">
        <v>-22965</v>
      </c>
      <c r="M20" s="115">
        <v>68285</v>
      </c>
      <c r="N20" s="115">
        <v>10072</v>
      </c>
      <c r="O20" s="115">
        <v>12984</v>
      </c>
      <c r="P20" s="115">
        <v>19616</v>
      </c>
      <c r="Q20" s="115">
        <v>21825</v>
      </c>
      <c r="R20" s="115">
        <v>13971</v>
      </c>
      <c r="S20" s="115">
        <v>35015</v>
      </c>
      <c r="T20" s="115">
        <v>10219</v>
      </c>
      <c r="U20" s="115">
        <v>99735</v>
      </c>
      <c r="V20" s="115">
        <v>4906</v>
      </c>
      <c r="W20" s="115">
        <v>-1840</v>
      </c>
      <c r="X20" s="115">
        <v>91913</v>
      </c>
      <c r="Y20" s="115">
        <v>24967</v>
      </c>
      <c r="Z20" s="115">
        <v>5002</v>
      </c>
      <c r="AA20" s="115">
        <v>-20129</v>
      </c>
      <c r="AB20" s="115">
        <v>8248</v>
      </c>
      <c r="AC20" s="115">
        <v>14293</v>
      </c>
      <c r="AD20" s="115">
        <v>49051</v>
      </c>
      <c r="AE20" s="115">
        <v>61444</v>
      </c>
      <c r="AF20" s="115">
        <v>16602</v>
      </c>
      <c r="AG20" s="115">
        <v>-48623</v>
      </c>
      <c r="AH20" s="115">
        <v>-6019</v>
      </c>
      <c r="AI20" s="115">
        <v>966</v>
      </c>
      <c r="AJ20" s="115">
        <v>-41187</v>
      </c>
      <c r="AK20" s="115">
        <v>38487</v>
      </c>
      <c r="AL20" s="115"/>
      <c r="AM20" s="114">
        <v>21386</v>
      </c>
      <c r="AN20" s="114">
        <v>16348</v>
      </c>
      <c r="AO20" s="114">
        <v>68285</v>
      </c>
      <c r="AP20" s="114">
        <f>Q20</f>
        <v>21825</v>
      </c>
      <c r="AQ20" s="114">
        <f>U20</f>
        <v>99735</v>
      </c>
      <c r="AR20" s="114">
        <f>Y20</f>
        <v>24967</v>
      </c>
      <c r="AS20" s="114">
        <f>AC20</f>
        <v>14293</v>
      </c>
      <c r="AT20" s="115">
        <f>AG20</f>
        <v>-48623</v>
      </c>
      <c r="AU20" s="115">
        <f>AK20</f>
        <v>38487</v>
      </c>
    </row>
    <row r="21" spans="1:47" s="121" customFormat="1" x14ac:dyDescent="0.2">
      <c r="A21" s="118" t="s">
        <v>43</v>
      </c>
      <c r="B21" s="119"/>
      <c r="C21" s="119"/>
      <c r="D21" s="119"/>
      <c r="E21" s="119"/>
      <c r="F21" s="119"/>
      <c r="G21" s="119"/>
      <c r="H21" s="119"/>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19"/>
      <c r="AN21" s="119"/>
      <c r="AO21" s="119"/>
      <c r="AP21" s="119"/>
      <c r="AQ21" s="119"/>
      <c r="AR21" s="119"/>
      <c r="AS21" s="119"/>
      <c r="AT21" s="120"/>
      <c r="AU21" s="120"/>
    </row>
    <row r="22" spans="1:47" s="121" customFormat="1" x14ac:dyDescent="0.2">
      <c r="A22" s="98" t="s">
        <v>176</v>
      </c>
      <c r="B22" s="107">
        <v>-24790</v>
      </c>
      <c r="C22" s="107">
        <v>-137577</v>
      </c>
      <c r="D22" s="107">
        <v>-155745</v>
      </c>
      <c r="E22" s="107">
        <v>-135234</v>
      </c>
      <c r="F22" s="107">
        <v>-135520</v>
      </c>
      <c r="G22" s="107">
        <v>-17551</v>
      </c>
      <c r="H22" s="107">
        <v>-61538</v>
      </c>
      <c r="I22" s="107">
        <v>-33325</v>
      </c>
      <c r="J22" s="108">
        <v>-260800</v>
      </c>
      <c r="K22" s="108">
        <v>183443</v>
      </c>
      <c r="L22" s="109">
        <v>-17931</v>
      </c>
      <c r="M22" s="109">
        <v>-698002</v>
      </c>
      <c r="N22" s="109">
        <v>98258</v>
      </c>
      <c r="O22" s="109">
        <v>494731</v>
      </c>
      <c r="P22" s="108">
        <v>504158</v>
      </c>
      <c r="Q22" s="108">
        <v>493751</v>
      </c>
      <c r="R22" s="108">
        <v>-122052</v>
      </c>
      <c r="S22" s="108">
        <v>-339896</v>
      </c>
      <c r="T22" s="108">
        <v>-283986</v>
      </c>
      <c r="U22" s="108">
        <v>-356198</v>
      </c>
      <c r="V22" s="108">
        <v>53869</v>
      </c>
      <c r="W22" s="108">
        <v>-389384</v>
      </c>
      <c r="X22" s="108">
        <v>23118</v>
      </c>
      <c r="Y22" s="108">
        <v>130417</v>
      </c>
      <c r="Z22" s="108">
        <v>-57933</v>
      </c>
      <c r="AA22" s="108">
        <v>-106074</v>
      </c>
      <c r="AB22" s="108">
        <v>74681</v>
      </c>
      <c r="AC22" s="108">
        <v>166715</v>
      </c>
      <c r="AD22" s="108">
        <v>-102199</v>
      </c>
      <c r="AE22" s="108">
        <v>-122067</v>
      </c>
      <c r="AF22" s="108">
        <v>-417120</v>
      </c>
      <c r="AG22" s="108">
        <v>-337090</v>
      </c>
      <c r="AH22" s="108">
        <v>-227756</v>
      </c>
      <c r="AI22" s="108">
        <v>-155919</v>
      </c>
      <c r="AJ22" s="108">
        <v>-197641</v>
      </c>
      <c r="AK22" s="108">
        <v>-368873</v>
      </c>
      <c r="AL22" s="108"/>
      <c r="AM22" s="107">
        <v>-135234</v>
      </c>
      <c r="AN22" s="107">
        <v>-33325</v>
      </c>
      <c r="AO22" s="107">
        <v>-698002</v>
      </c>
      <c r="AP22" s="107">
        <f>Q22</f>
        <v>493751</v>
      </c>
      <c r="AQ22" s="107">
        <f>U22</f>
        <v>-356198</v>
      </c>
      <c r="AR22" s="107">
        <f>Y22</f>
        <v>130417</v>
      </c>
      <c r="AS22" s="107">
        <f>AC22</f>
        <v>166715</v>
      </c>
      <c r="AT22" s="108">
        <f>AG22</f>
        <v>-337090</v>
      </c>
      <c r="AU22" s="108">
        <f>AK22</f>
        <v>-368873</v>
      </c>
    </row>
    <row r="23" spans="1:47" s="121" customFormat="1" x14ac:dyDescent="0.2">
      <c r="A23" s="98" t="s">
        <v>177</v>
      </c>
      <c r="B23" s="107">
        <v>22158</v>
      </c>
      <c r="C23" s="107">
        <v>-4357</v>
      </c>
      <c r="D23" s="107">
        <v>-68914</v>
      </c>
      <c r="E23" s="107">
        <v>-159995</v>
      </c>
      <c r="F23" s="107">
        <v>-24596</v>
      </c>
      <c r="G23" s="107">
        <v>-80258</v>
      </c>
      <c r="H23" s="107">
        <v>-152130</v>
      </c>
      <c r="I23" s="107">
        <v>-200074</v>
      </c>
      <c r="J23" s="108">
        <v>-229482</v>
      </c>
      <c r="K23" s="108">
        <v>74123</v>
      </c>
      <c r="L23" s="109">
        <v>-341985</v>
      </c>
      <c r="M23" s="109">
        <v>-364316</v>
      </c>
      <c r="N23" s="109">
        <v>294444</v>
      </c>
      <c r="O23" s="109">
        <v>401532</v>
      </c>
      <c r="P23" s="108">
        <v>420804</v>
      </c>
      <c r="Q23" s="108">
        <v>331396</v>
      </c>
      <c r="R23" s="108">
        <v>-153603</v>
      </c>
      <c r="S23" s="108">
        <v>-313130</v>
      </c>
      <c r="T23" s="108">
        <v>-438261</v>
      </c>
      <c r="U23" s="108">
        <v>-458033</v>
      </c>
      <c r="V23" s="108">
        <v>-87895</v>
      </c>
      <c r="W23" s="108">
        <v>-205709</v>
      </c>
      <c r="X23" s="108">
        <v>-489604</v>
      </c>
      <c r="Y23" s="108">
        <v>-368932</v>
      </c>
      <c r="Z23" s="108">
        <v>194871</v>
      </c>
      <c r="AA23" s="108">
        <v>49245</v>
      </c>
      <c r="AB23" s="108">
        <v>128192</v>
      </c>
      <c r="AC23" s="108">
        <v>169858</v>
      </c>
      <c r="AD23" s="108">
        <v>74726</v>
      </c>
      <c r="AE23" s="108">
        <v>100948</v>
      </c>
      <c r="AF23" s="108">
        <v>152304</v>
      </c>
      <c r="AG23" s="108">
        <v>-95777</v>
      </c>
      <c r="AH23" s="108">
        <v>229868</v>
      </c>
      <c r="AI23" s="108">
        <v>331808</v>
      </c>
      <c r="AJ23" s="108">
        <v>-34376</v>
      </c>
      <c r="AK23" s="108">
        <v>-352970</v>
      </c>
      <c r="AL23" s="108"/>
      <c r="AM23" s="107">
        <v>-159995</v>
      </c>
      <c r="AN23" s="107">
        <v>-200074</v>
      </c>
      <c r="AO23" s="107">
        <v>-364316</v>
      </c>
      <c r="AP23" s="107">
        <f>Q23</f>
        <v>331396</v>
      </c>
      <c r="AQ23" s="107">
        <f>U23</f>
        <v>-458033</v>
      </c>
      <c r="AR23" s="107">
        <f>Y23</f>
        <v>-368932</v>
      </c>
      <c r="AS23" s="107">
        <f>AC23</f>
        <v>169858</v>
      </c>
      <c r="AT23" s="108">
        <f>AG23</f>
        <v>-95777</v>
      </c>
      <c r="AU23" s="108">
        <f>AK23</f>
        <v>-352970</v>
      </c>
    </row>
    <row r="24" spans="1:47" s="121" customFormat="1" x14ac:dyDescent="0.2">
      <c r="A24" s="98" t="s">
        <v>178</v>
      </c>
      <c r="B24" s="107">
        <v>4317</v>
      </c>
      <c r="C24" s="107">
        <v>-1276</v>
      </c>
      <c r="D24" s="107">
        <v>-150</v>
      </c>
      <c r="E24" s="107">
        <v>-16905</v>
      </c>
      <c r="F24" s="107">
        <v>-28776</v>
      </c>
      <c r="G24" s="107">
        <v>-10286</v>
      </c>
      <c r="H24" s="107">
        <v>-42847</v>
      </c>
      <c r="I24" s="107">
        <v>-43633</v>
      </c>
      <c r="J24" s="108">
        <v>-14716</v>
      </c>
      <c r="K24" s="108">
        <v>-17829</v>
      </c>
      <c r="L24" s="109">
        <v>14889</v>
      </c>
      <c r="M24" s="109">
        <v>45690</v>
      </c>
      <c r="N24" s="109">
        <v>-4082</v>
      </c>
      <c r="O24" s="109">
        <v>-146</v>
      </c>
      <c r="P24" s="108">
        <v>4865</v>
      </c>
      <c r="Q24" s="108">
        <v>17193</v>
      </c>
      <c r="R24" s="108">
        <v>-1712</v>
      </c>
      <c r="S24" s="108">
        <v>-2945</v>
      </c>
      <c r="T24" s="108">
        <v>-4309</v>
      </c>
      <c r="U24" s="108">
        <v>5517</v>
      </c>
      <c r="V24" s="108">
        <v>-8597</v>
      </c>
      <c r="W24" s="108">
        <v>-5160</v>
      </c>
      <c r="X24" s="108">
        <v>11116</v>
      </c>
      <c r="Y24" s="108">
        <v>13495</v>
      </c>
      <c r="Z24" s="108">
        <v>1796</v>
      </c>
      <c r="AA24" s="108">
        <v>11688</v>
      </c>
      <c r="AB24" s="108">
        <v>19218</v>
      </c>
      <c r="AC24" s="108">
        <v>31628</v>
      </c>
      <c r="AD24" s="108">
        <v>4762</v>
      </c>
      <c r="AE24" s="108">
        <v>1879</v>
      </c>
      <c r="AF24" s="108">
        <v>5720</v>
      </c>
      <c r="AG24" s="108">
        <v>7351</v>
      </c>
      <c r="AH24" s="108">
        <v>-10566</v>
      </c>
      <c r="AI24" s="108">
        <v>-7832</v>
      </c>
      <c r="AJ24" s="108">
        <v>-4778</v>
      </c>
      <c r="AK24" s="108">
        <v>-2338</v>
      </c>
      <c r="AL24" s="108"/>
      <c r="AM24" s="107">
        <v>-16905</v>
      </c>
      <c r="AN24" s="107">
        <v>-43633</v>
      </c>
      <c r="AO24" s="107">
        <v>45690</v>
      </c>
      <c r="AP24" s="107">
        <f>Q24</f>
        <v>17193</v>
      </c>
      <c r="AQ24" s="107">
        <f>U24</f>
        <v>5517</v>
      </c>
      <c r="AR24" s="107">
        <f>Y24</f>
        <v>13495</v>
      </c>
      <c r="AS24" s="107">
        <f>AC24</f>
        <v>31628</v>
      </c>
      <c r="AT24" s="108">
        <f>AG24</f>
        <v>7351</v>
      </c>
      <c r="AU24" s="108">
        <f>AK24</f>
        <v>-2338</v>
      </c>
    </row>
    <row r="25" spans="1:47" x14ac:dyDescent="0.2">
      <c r="A25" s="98" t="s">
        <v>44</v>
      </c>
      <c r="B25" s="107">
        <v>-19673</v>
      </c>
      <c r="C25" s="107">
        <v>-42000</v>
      </c>
      <c r="D25" s="107">
        <v>-64512</v>
      </c>
      <c r="E25" s="107">
        <v>-69776</v>
      </c>
      <c r="F25" s="107">
        <v>-1277</v>
      </c>
      <c r="G25" s="107">
        <v>-104199</v>
      </c>
      <c r="H25" s="107">
        <v>-104973</v>
      </c>
      <c r="I25" s="107">
        <v>-106260</v>
      </c>
      <c r="J25" s="108"/>
      <c r="K25" s="108"/>
      <c r="L25" s="109"/>
      <c r="M25" s="109"/>
      <c r="N25" s="109"/>
      <c r="O25" s="109"/>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7">
        <v>-69776</v>
      </c>
      <c r="AN25" s="107">
        <v>-106260</v>
      </c>
      <c r="AO25" s="107"/>
      <c r="AP25" s="107"/>
      <c r="AQ25" s="107"/>
      <c r="AR25" s="107"/>
      <c r="AS25" s="107"/>
      <c r="AT25" s="108"/>
      <c r="AU25" s="108"/>
    </row>
    <row r="26" spans="1:47" s="121" customFormat="1" x14ac:dyDescent="0.2">
      <c r="A26" s="98" t="s">
        <v>179</v>
      </c>
      <c r="B26" s="107">
        <v>-59742</v>
      </c>
      <c r="C26" s="107">
        <v>-41369</v>
      </c>
      <c r="D26" s="107">
        <v>-117640</v>
      </c>
      <c r="E26" s="107">
        <v>-23125</v>
      </c>
      <c r="F26" s="107">
        <v>79082</v>
      </c>
      <c r="G26" s="107">
        <v>338080</v>
      </c>
      <c r="H26" s="107">
        <v>349209</v>
      </c>
      <c r="I26" s="107">
        <v>242830</v>
      </c>
      <c r="J26" s="108">
        <v>60175</v>
      </c>
      <c r="K26" s="108">
        <v>-870745</v>
      </c>
      <c r="L26" s="109">
        <v>-891376</v>
      </c>
      <c r="M26" s="109">
        <v>89776</v>
      </c>
      <c r="N26" s="109">
        <v>-15205</v>
      </c>
      <c r="O26" s="109">
        <v>-11014</v>
      </c>
      <c r="P26" s="108">
        <v>16690</v>
      </c>
      <c r="Q26" s="108">
        <v>10534</v>
      </c>
      <c r="R26" s="108">
        <v>95362</v>
      </c>
      <c r="S26" s="108">
        <v>193299</v>
      </c>
      <c r="T26" s="108">
        <v>195072</v>
      </c>
      <c r="U26" s="108">
        <v>213979</v>
      </c>
      <c r="V26" s="108">
        <v>71361</v>
      </c>
      <c r="W26" s="108">
        <v>161958</v>
      </c>
      <c r="X26" s="108">
        <v>244176</v>
      </c>
      <c r="Y26" s="108">
        <v>97616</v>
      </c>
      <c r="Z26" s="108">
        <v>13071</v>
      </c>
      <c r="AA26" s="108">
        <v>25928</v>
      </c>
      <c r="AB26" s="108">
        <v>50187</v>
      </c>
      <c r="AC26" s="108">
        <v>-69932</v>
      </c>
      <c r="AD26" s="108">
        <v>-16520</v>
      </c>
      <c r="AE26" s="108">
        <v>-34820</v>
      </c>
      <c r="AF26" s="108">
        <v>333344</v>
      </c>
      <c r="AG26" s="108">
        <v>412147</v>
      </c>
      <c r="AH26" s="108">
        <v>-2903</v>
      </c>
      <c r="AI26" s="108">
        <v>-25729</v>
      </c>
      <c r="AJ26" s="108">
        <v>-16661</v>
      </c>
      <c r="AK26" s="108">
        <v>78993</v>
      </c>
      <c r="AL26" s="108"/>
      <c r="AM26" s="107">
        <v>-23125</v>
      </c>
      <c r="AN26" s="107">
        <v>242830</v>
      </c>
      <c r="AO26" s="107">
        <v>89776</v>
      </c>
      <c r="AP26" s="107">
        <f>Q26</f>
        <v>10534</v>
      </c>
      <c r="AQ26" s="107">
        <f>U26</f>
        <v>213979</v>
      </c>
      <c r="AR26" s="107">
        <f>Y26</f>
        <v>97616</v>
      </c>
      <c r="AS26" s="107">
        <f>AC26</f>
        <v>-69932</v>
      </c>
      <c r="AT26" s="108">
        <f>AG26</f>
        <v>412147</v>
      </c>
      <c r="AU26" s="108">
        <f>AK26</f>
        <v>78993</v>
      </c>
    </row>
    <row r="27" spans="1:47" s="121" customFormat="1" x14ac:dyDescent="0.2">
      <c r="A27" s="98" t="s">
        <v>45</v>
      </c>
      <c r="B27" s="107">
        <v>-12862</v>
      </c>
      <c r="C27" s="107">
        <v>14387</v>
      </c>
      <c r="D27" s="107">
        <v>90052</v>
      </c>
      <c r="E27" s="107">
        <v>32376</v>
      </c>
      <c r="F27" s="107">
        <v>-13334</v>
      </c>
      <c r="G27" s="107">
        <v>-20826</v>
      </c>
      <c r="H27" s="107">
        <v>-20978</v>
      </c>
      <c r="I27" s="107">
        <v>-33700</v>
      </c>
      <c r="J27" s="108">
        <v>19173</v>
      </c>
      <c r="K27" s="108">
        <v>72665</v>
      </c>
      <c r="L27" s="109">
        <v>67617</v>
      </c>
      <c r="M27" s="115">
        <v>-63610</v>
      </c>
      <c r="N27" s="115">
        <v>17507</v>
      </c>
      <c r="O27" s="115">
        <v>17597</v>
      </c>
      <c r="P27" s="108">
        <v>30556</v>
      </c>
      <c r="Q27" s="108">
        <v>5990</v>
      </c>
      <c r="R27" s="108">
        <v>6162</v>
      </c>
      <c r="S27" s="108">
        <v>25384</v>
      </c>
      <c r="T27" s="108">
        <v>17271</v>
      </c>
      <c r="U27" s="108">
        <v>-29</v>
      </c>
      <c r="V27" s="108">
        <v>6033</v>
      </c>
      <c r="W27" s="108">
        <v>43173</v>
      </c>
      <c r="X27" s="108">
        <v>13080</v>
      </c>
      <c r="Y27" s="108">
        <v>-10118</v>
      </c>
      <c r="Z27" s="108">
        <v>381</v>
      </c>
      <c r="AA27" s="108">
        <v>16427</v>
      </c>
      <c r="AB27" s="108">
        <v>-2207</v>
      </c>
      <c r="AC27" s="108">
        <v>12471</v>
      </c>
      <c r="AD27" s="108">
        <v>21727</v>
      </c>
      <c r="AE27" s="108">
        <v>23709</v>
      </c>
      <c r="AF27" s="108">
        <v>20672</v>
      </c>
      <c r="AG27" s="108">
        <v>2104</v>
      </c>
      <c r="AH27" s="108">
        <v>13173</v>
      </c>
      <c r="AI27" s="108">
        <v>3638</v>
      </c>
      <c r="AJ27" s="108">
        <v>35758</v>
      </c>
      <c r="AK27" s="108">
        <v>50079</v>
      </c>
      <c r="AL27" s="108"/>
      <c r="AM27" s="107">
        <v>32376</v>
      </c>
      <c r="AN27" s="107">
        <v>-33700</v>
      </c>
      <c r="AO27" s="107">
        <v>-63610</v>
      </c>
      <c r="AP27" s="107">
        <f>Q27</f>
        <v>5990</v>
      </c>
      <c r="AQ27" s="107">
        <f>U27</f>
        <v>-29</v>
      </c>
      <c r="AR27" s="107">
        <f>Y27</f>
        <v>-10118</v>
      </c>
      <c r="AS27" s="107">
        <f>AC27</f>
        <v>12471</v>
      </c>
      <c r="AT27" s="108">
        <f>AG27</f>
        <v>2104</v>
      </c>
      <c r="AU27" s="108">
        <f>AK27</f>
        <v>50079</v>
      </c>
    </row>
    <row r="28" spans="1:47" s="121" customFormat="1" x14ac:dyDescent="0.2">
      <c r="A28" s="122"/>
      <c r="B28" s="119"/>
      <c r="C28" s="119"/>
      <c r="D28" s="119"/>
      <c r="E28" s="119"/>
      <c r="F28" s="119"/>
      <c r="G28" s="119"/>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19"/>
      <c r="AN28" s="119"/>
      <c r="AO28" s="119"/>
      <c r="AP28" s="119"/>
      <c r="AQ28" s="119"/>
      <c r="AR28" s="119"/>
      <c r="AS28" s="119"/>
      <c r="AT28" s="120"/>
      <c r="AU28" s="120"/>
    </row>
    <row r="29" spans="1:47" s="121" customFormat="1" x14ac:dyDescent="0.2">
      <c r="A29" s="123" t="s">
        <v>252</v>
      </c>
      <c r="B29" s="124">
        <v>159091</v>
      </c>
      <c r="C29" s="124">
        <v>527777</v>
      </c>
      <c r="D29" s="124">
        <v>1029487</v>
      </c>
      <c r="E29" s="124">
        <v>1585089</v>
      </c>
      <c r="F29" s="124">
        <v>459310</v>
      </c>
      <c r="G29" s="124">
        <v>1366917</v>
      </c>
      <c r="H29" s="124">
        <v>1979040</v>
      </c>
      <c r="I29" s="124">
        <v>2523903</v>
      </c>
      <c r="J29" s="125">
        <v>250066</v>
      </c>
      <c r="K29" s="125">
        <v>1184165</v>
      </c>
      <c r="L29" s="125">
        <v>1888060</v>
      </c>
      <c r="M29" s="125">
        <v>2780762</v>
      </c>
      <c r="N29" s="125">
        <v>382163</v>
      </c>
      <c r="O29" s="125">
        <v>927165</v>
      </c>
      <c r="P29" s="125">
        <v>1251050</v>
      </c>
      <c r="Q29" s="125">
        <v>1394259</v>
      </c>
      <c r="R29" s="125">
        <v>102720</v>
      </c>
      <c r="S29" s="125">
        <v>448697</v>
      </c>
      <c r="T29" s="125">
        <v>1006644</v>
      </c>
      <c r="U29" s="125">
        <v>1431097</v>
      </c>
      <c r="V29" s="125">
        <v>542296</v>
      </c>
      <c r="W29" s="125">
        <v>826524</v>
      </c>
      <c r="X29" s="125">
        <v>1484949</v>
      </c>
      <c r="Y29" s="125">
        <v>1805115</v>
      </c>
      <c r="Z29" s="125">
        <v>502309</v>
      </c>
      <c r="AA29" s="125">
        <f>SUM(AA3:AA27)</f>
        <v>806751</v>
      </c>
      <c r="AB29" s="125">
        <v>1491170</v>
      </c>
      <c r="AC29" s="125">
        <v>1824657</v>
      </c>
      <c r="AD29" s="125">
        <f>SUM(AD3:AD27)</f>
        <v>250722</v>
      </c>
      <c r="AE29" s="125">
        <f>SUM(AE3:AE27)</f>
        <v>580522</v>
      </c>
      <c r="AF29" s="125">
        <f>SUM(AF3:AF27)</f>
        <v>1029790</v>
      </c>
      <c r="AG29" s="125">
        <v>1218501</v>
      </c>
      <c r="AH29" s="125">
        <v>436316</v>
      </c>
      <c r="AI29" s="125">
        <v>1066090</v>
      </c>
      <c r="AJ29" s="125">
        <v>1292901</v>
      </c>
      <c r="AK29" s="125">
        <v>1805710</v>
      </c>
      <c r="AL29" s="125"/>
      <c r="AM29" s="124">
        <v>1585089</v>
      </c>
      <c r="AN29" s="124">
        <v>2523903</v>
      </c>
      <c r="AO29" s="124">
        <v>2780762</v>
      </c>
      <c r="AP29" s="124">
        <f>Q29</f>
        <v>1394259</v>
      </c>
      <c r="AQ29" s="124">
        <f>U29</f>
        <v>1431097</v>
      </c>
      <c r="AR29" s="124">
        <f>Y29</f>
        <v>1805115</v>
      </c>
      <c r="AS29" s="124">
        <f>AC29</f>
        <v>1824657</v>
      </c>
      <c r="AT29" s="125">
        <f>AG29</f>
        <v>1218501</v>
      </c>
      <c r="AU29" s="125">
        <f>AK29</f>
        <v>1805710</v>
      </c>
    </row>
    <row r="30" spans="1:47" s="121" customFormat="1" x14ac:dyDescent="0.2">
      <c r="A30" s="98" t="s">
        <v>250</v>
      </c>
      <c r="B30" s="107"/>
      <c r="C30" s="107"/>
      <c r="D30" s="107"/>
      <c r="E30" s="107"/>
      <c r="F30" s="107"/>
      <c r="G30" s="107"/>
      <c r="H30" s="107"/>
      <c r="I30" s="107"/>
      <c r="J30" s="108"/>
      <c r="K30" s="108"/>
      <c r="L30" s="109"/>
      <c r="M30" s="109"/>
      <c r="N30" s="109"/>
      <c r="O30" s="109"/>
      <c r="P30" s="108"/>
      <c r="Q30" s="108"/>
      <c r="R30" s="108"/>
      <c r="S30" s="108"/>
      <c r="T30" s="108"/>
      <c r="U30" s="108"/>
      <c r="V30" s="108"/>
      <c r="W30" s="108"/>
      <c r="X30" s="108"/>
      <c r="Y30" s="108"/>
      <c r="Z30" s="108"/>
      <c r="AA30" s="108"/>
      <c r="AB30" s="108"/>
      <c r="AC30" s="108"/>
      <c r="AD30" s="108"/>
      <c r="AE30" s="108"/>
      <c r="AF30" s="108">
        <v>28266</v>
      </c>
      <c r="AG30" s="108">
        <v>40433</v>
      </c>
      <c r="AH30" s="108">
        <v>5388</v>
      </c>
      <c r="AI30" s="108">
        <v>14024</v>
      </c>
      <c r="AJ30" s="108">
        <v>23571</v>
      </c>
      <c r="AK30" s="108">
        <v>30738</v>
      </c>
      <c r="AL30" s="108"/>
      <c r="AM30" s="107"/>
      <c r="AN30" s="107"/>
      <c r="AO30" s="107"/>
      <c r="AP30" s="107"/>
      <c r="AQ30" s="107"/>
      <c r="AR30" s="107"/>
      <c r="AS30" s="107"/>
      <c r="AT30" s="108">
        <f>AG30</f>
        <v>40433</v>
      </c>
      <c r="AU30" s="108">
        <f>AK30</f>
        <v>30738</v>
      </c>
    </row>
    <row r="31" spans="1:47" s="121" customFormat="1" x14ac:dyDescent="0.2">
      <c r="A31" s="98" t="s">
        <v>251</v>
      </c>
      <c r="B31" s="107"/>
      <c r="C31" s="107"/>
      <c r="D31" s="107"/>
      <c r="E31" s="107"/>
      <c r="F31" s="107"/>
      <c r="G31" s="107"/>
      <c r="H31" s="107"/>
      <c r="I31" s="107"/>
      <c r="J31" s="108"/>
      <c r="K31" s="108"/>
      <c r="L31" s="109"/>
      <c r="M31" s="109"/>
      <c r="N31" s="109"/>
      <c r="O31" s="109"/>
      <c r="P31" s="108"/>
      <c r="Q31" s="108"/>
      <c r="R31" s="108"/>
      <c r="S31" s="108"/>
      <c r="T31" s="108"/>
      <c r="U31" s="108"/>
      <c r="V31" s="108"/>
      <c r="W31" s="108"/>
      <c r="X31" s="108"/>
      <c r="Y31" s="108"/>
      <c r="Z31" s="108"/>
      <c r="AA31" s="108"/>
      <c r="AB31" s="108"/>
      <c r="AC31" s="108"/>
      <c r="AD31" s="108"/>
      <c r="AE31" s="108"/>
      <c r="AF31" s="108">
        <v>-71074</v>
      </c>
      <c r="AG31" s="108">
        <v>-81486</v>
      </c>
      <c r="AH31" s="108">
        <v>-40499</v>
      </c>
      <c r="AI31" s="108">
        <v>-60921</v>
      </c>
      <c r="AJ31" s="108">
        <v>-103193</v>
      </c>
      <c r="AK31" s="108">
        <v>-120594</v>
      </c>
      <c r="AL31" s="108"/>
      <c r="AM31" s="107"/>
      <c r="AN31" s="107"/>
      <c r="AO31" s="107"/>
      <c r="AP31" s="107"/>
      <c r="AQ31" s="107"/>
      <c r="AR31" s="107"/>
      <c r="AS31" s="107"/>
      <c r="AT31" s="108">
        <f>AG31</f>
        <v>-81486</v>
      </c>
      <c r="AU31" s="108">
        <f>AK31</f>
        <v>-120594</v>
      </c>
    </row>
    <row r="32" spans="1:47" s="121" customFormat="1" x14ac:dyDescent="0.2">
      <c r="A32" s="123" t="s">
        <v>253</v>
      </c>
      <c r="B32" s="124"/>
      <c r="C32" s="124"/>
      <c r="D32" s="124"/>
      <c r="E32" s="124"/>
      <c r="F32" s="124"/>
      <c r="G32" s="124"/>
      <c r="H32" s="124"/>
      <c r="I32" s="124"/>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v>986982</v>
      </c>
      <c r="AG32" s="125">
        <v>1177448</v>
      </c>
      <c r="AH32" s="125">
        <v>401205</v>
      </c>
      <c r="AI32" s="125">
        <v>1019193</v>
      </c>
      <c r="AJ32" s="125">
        <v>1213279</v>
      </c>
      <c r="AK32" s="125">
        <v>1715854</v>
      </c>
      <c r="AL32" s="125"/>
      <c r="AM32" s="124"/>
      <c r="AN32" s="124"/>
      <c r="AO32" s="124"/>
      <c r="AP32" s="124"/>
      <c r="AQ32" s="124"/>
      <c r="AR32" s="124"/>
      <c r="AS32" s="124"/>
      <c r="AT32" s="125">
        <f>AG32</f>
        <v>1177448</v>
      </c>
      <c r="AU32" s="125">
        <f>AK32</f>
        <v>1715854</v>
      </c>
    </row>
    <row r="33" spans="1:47" s="117" customFormat="1" x14ac:dyDescent="0.2">
      <c r="A33" s="126"/>
      <c r="B33" s="127"/>
      <c r="C33" s="127"/>
      <c r="D33" s="127"/>
      <c r="E33" s="127"/>
      <c r="F33" s="127"/>
      <c r="G33" s="127"/>
      <c r="H33" s="127"/>
      <c r="I33" s="127"/>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7"/>
      <c r="AN33" s="127"/>
      <c r="AO33" s="127"/>
      <c r="AP33" s="127"/>
      <c r="AQ33" s="127"/>
      <c r="AR33" s="127"/>
      <c r="AS33" s="127"/>
      <c r="AT33" s="128"/>
      <c r="AU33" s="128"/>
    </row>
    <row r="34" spans="1:47" s="117" customFormat="1" x14ac:dyDescent="0.2">
      <c r="A34" s="129" t="s">
        <v>46</v>
      </c>
      <c r="B34" s="130"/>
      <c r="C34" s="130"/>
      <c r="D34" s="130"/>
      <c r="E34" s="130"/>
      <c r="F34" s="130"/>
      <c r="G34" s="130"/>
      <c r="H34" s="130"/>
      <c r="I34" s="130"/>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0"/>
      <c r="AN34" s="130"/>
      <c r="AO34" s="130"/>
      <c r="AP34" s="130"/>
      <c r="AQ34" s="130"/>
      <c r="AR34" s="130"/>
      <c r="AS34" s="130"/>
      <c r="AT34" s="131"/>
      <c r="AU34" s="131"/>
    </row>
    <row r="35" spans="1:47" s="135" customFormat="1" x14ac:dyDescent="0.2">
      <c r="A35" s="132" t="s">
        <v>47</v>
      </c>
      <c r="B35" s="133">
        <v>-59365</v>
      </c>
      <c r="C35" s="133">
        <v>-809655</v>
      </c>
      <c r="D35" s="133">
        <v>-1348063</v>
      </c>
      <c r="E35" s="133">
        <v>-1347545</v>
      </c>
      <c r="F35" s="133"/>
      <c r="G35" s="133"/>
      <c r="H35" s="133"/>
      <c r="I35" s="133"/>
      <c r="J35" s="134">
        <v>-28169</v>
      </c>
      <c r="K35" s="134">
        <v>-126144</v>
      </c>
      <c r="L35" s="134">
        <v>-160493</v>
      </c>
      <c r="M35" s="134">
        <v>-514156</v>
      </c>
      <c r="N35" s="134"/>
      <c r="O35" s="134"/>
      <c r="P35" s="134"/>
      <c r="Q35" s="134"/>
      <c r="R35" s="134"/>
      <c r="S35" s="134"/>
      <c r="T35" s="134"/>
      <c r="U35" s="134">
        <v>-28363</v>
      </c>
      <c r="V35" s="134"/>
      <c r="W35" s="134"/>
      <c r="X35" s="134"/>
      <c r="Y35" s="134"/>
      <c r="Z35" s="134"/>
      <c r="AA35" s="134"/>
      <c r="AB35" s="134"/>
      <c r="AC35" s="134"/>
      <c r="AD35" s="134"/>
      <c r="AE35" s="134"/>
      <c r="AF35" s="134"/>
      <c r="AG35" s="134"/>
      <c r="AH35" s="134"/>
      <c r="AI35" s="134"/>
      <c r="AJ35" s="134"/>
      <c r="AK35" s="134"/>
      <c r="AL35" s="134"/>
      <c r="AM35" s="133">
        <v>-1347545</v>
      </c>
      <c r="AN35" s="133"/>
      <c r="AO35" s="133">
        <v>-514156</v>
      </c>
      <c r="AP35" s="133"/>
      <c r="AQ35" s="133">
        <f>U35</f>
        <v>-28363</v>
      </c>
      <c r="AR35" s="133"/>
      <c r="AS35" s="133"/>
      <c r="AT35" s="134"/>
      <c r="AU35" s="134"/>
    </row>
    <row r="36" spans="1:47" s="135" customFormat="1" x14ac:dyDescent="0.2">
      <c r="A36" s="132" t="s">
        <v>243</v>
      </c>
      <c r="B36" s="133"/>
      <c r="C36" s="133"/>
      <c r="D36" s="133"/>
      <c r="E36" s="133"/>
      <c r="F36" s="133"/>
      <c r="G36" s="133"/>
      <c r="H36" s="133"/>
      <c r="I36" s="133"/>
      <c r="J36" s="134"/>
      <c r="K36" s="134"/>
      <c r="L36" s="134"/>
      <c r="M36" s="134"/>
      <c r="N36" s="134"/>
      <c r="O36" s="134"/>
      <c r="P36" s="134"/>
      <c r="Q36" s="134"/>
      <c r="R36" s="134"/>
      <c r="S36" s="134"/>
      <c r="T36" s="134"/>
      <c r="U36" s="134"/>
      <c r="V36" s="134"/>
      <c r="W36" s="134"/>
      <c r="X36" s="134"/>
      <c r="Y36" s="134"/>
      <c r="Z36" s="134"/>
      <c r="AA36" s="134"/>
      <c r="AB36" s="134"/>
      <c r="AC36" s="134"/>
      <c r="AD36" s="134">
        <v>-9609</v>
      </c>
      <c r="AE36" s="134">
        <v>-9609</v>
      </c>
      <c r="AF36" s="134">
        <v>-9609</v>
      </c>
      <c r="AG36" s="134">
        <v>-9609</v>
      </c>
      <c r="AH36" s="134"/>
      <c r="AI36" s="134"/>
      <c r="AJ36" s="134"/>
      <c r="AK36" s="134"/>
      <c r="AL36" s="134"/>
      <c r="AM36" s="133"/>
      <c r="AN36" s="133"/>
      <c r="AO36" s="133"/>
      <c r="AP36" s="133"/>
      <c r="AQ36" s="133"/>
      <c r="AR36" s="133"/>
      <c r="AS36" s="133"/>
      <c r="AT36" s="134">
        <f>AG36</f>
        <v>-9609</v>
      </c>
      <c r="AU36" s="134"/>
    </row>
    <row r="37" spans="1:47" x14ac:dyDescent="0.2">
      <c r="A37" s="132" t="s">
        <v>162</v>
      </c>
      <c r="B37" s="133"/>
      <c r="C37" s="133"/>
      <c r="D37" s="133"/>
      <c r="E37" s="133"/>
      <c r="F37" s="133"/>
      <c r="G37" s="133"/>
      <c r="H37" s="133"/>
      <c r="I37" s="133"/>
      <c r="J37" s="134">
        <v>-299928</v>
      </c>
      <c r="K37" s="134">
        <v>-299928</v>
      </c>
      <c r="L37" s="134">
        <v>-299928</v>
      </c>
      <c r="M37" s="134">
        <v>-299928</v>
      </c>
      <c r="N37" s="134"/>
      <c r="O37" s="134"/>
      <c r="P37" s="134"/>
      <c r="Q37" s="134"/>
      <c r="R37" s="134"/>
      <c r="S37" s="134"/>
      <c r="T37" s="134"/>
      <c r="U37" s="134"/>
      <c r="V37" s="134"/>
      <c r="W37" s="134">
        <v>-150000</v>
      </c>
      <c r="X37" s="134">
        <v>-41751</v>
      </c>
      <c r="Y37" s="134">
        <v>-41751</v>
      </c>
      <c r="Z37" s="134"/>
      <c r="AA37" s="134">
        <v>-156510</v>
      </c>
      <c r="AB37" s="134">
        <v>-156510</v>
      </c>
      <c r="AC37" s="134">
        <v>-156510</v>
      </c>
      <c r="AD37" s="134"/>
      <c r="AE37" s="134"/>
      <c r="AF37" s="134"/>
      <c r="AG37" s="134"/>
      <c r="AH37" s="134"/>
      <c r="AI37" s="134"/>
      <c r="AJ37" s="134"/>
      <c r="AK37" s="134"/>
      <c r="AL37" s="134"/>
      <c r="AM37" s="133"/>
      <c r="AN37" s="133"/>
      <c r="AO37" s="133">
        <v>-299928</v>
      </c>
      <c r="AP37" s="133"/>
      <c r="AQ37" s="133"/>
      <c r="AR37" s="133">
        <f>Y37</f>
        <v>-41751</v>
      </c>
      <c r="AS37" s="133">
        <f>AC37</f>
        <v>-156510</v>
      </c>
      <c r="AT37" s="134"/>
      <c r="AU37" s="134"/>
    </row>
    <row r="38" spans="1:47" s="112" customFormat="1" x14ac:dyDescent="0.2">
      <c r="A38" s="132" t="s">
        <v>48</v>
      </c>
      <c r="B38" s="133"/>
      <c r="C38" s="133"/>
      <c r="D38" s="133"/>
      <c r="E38" s="133">
        <v>-805503</v>
      </c>
      <c r="F38" s="133"/>
      <c r="G38" s="133"/>
      <c r="H38" s="133"/>
      <c r="I38" s="133"/>
      <c r="J38" s="134"/>
      <c r="K38" s="134"/>
      <c r="L38" s="134"/>
      <c r="M38" s="134">
        <v>-6488</v>
      </c>
      <c r="N38" s="134"/>
      <c r="O38" s="134"/>
      <c r="P38" s="134"/>
      <c r="Q38" s="134"/>
      <c r="R38" s="134"/>
      <c r="S38" s="134"/>
      <c r="T38" s="134"/>
      <c r="AL38" s="134"/>
      <c r="AM38" s="133">
        <v>-805503</v>
      </c>
      <c r="AN38" s="133"/>
      <c r="AO38" s="133">
        <v>-6488</v>
      </c>
      <c r="AP38" s="133"/>
      <c r="AQ38" s="133"/>
      <c r="AR38" s="133"/>
      <c r="AS38" s="133"/>
    </row>
    <row r="39" spans="1:47" ht="11.25" customHeight="1" x14ac:dyDescent="0.2">
      <c r="A39" s="132" t="s">
        <v>142</v>
      </c>
      <c r="B39" s="133"/>
      <c r="C39" s="133"/>
      <c r="D39" s="133"/>
      <c r="E39" s="133"/>
      <c r="F39" s="133"/>
      <c r="G39" s="133"/>
      <c r="H39" s="133"/>
      <c r="I39" s="133">
        <v>24038</v>
      </c>
      <c r="J39" s="134"/>
      <c r="K39" s="134">
        <v>297905</v>
      </c>
      <c r="L39" s="134">
        <v>297905</v>
      </c>
      <c r="M39" s="134">
        <v>297905</v>
      </c>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3"/>
      <c r="AN39" s="133">
        <v>24038</v>
      </c>
      <c r="AO39" s="134">
        <v>297905</v>
      </c>
      <c r="AP39" s="134"/>
      <c r="AQ39" s="134"/>
      <c r="AR39" s="134"/>
      <c r="AS39" s="134"/>
      <c r="AT39" s="134"/>
      <c r="AU39" s="134"/>
    </row>
    <row r="40" spans="1:47" ht="12" customHeight="1" x14ac:dyDescent="0.2">
      <c r="A40" s="136" t="s">
        <v>49</v>
      </c>
      <c r="B40" s="133"/>
      <c r="C40" s="133"/>
      <c r="D40" s="133">
        <v>274563</v>
      </c>
      <c r="E40" s="133">
        <v>302526</v>
      </c>
      <c r="F40" s="133"/>
      <c r="G40" s="133"/>
      <c r="H40" s="133"/>
      <c r="I40" s="133"/>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3">
        <v>302526</v>
      </c>
      <c r="AN40" s="133"/>
      <c r="AO40" s="133"/>
      <c r="AP40" s="133"/>
      <c r="AQ40" s="133"/>
      <c r="AR40" s="133"/>
      <c r="AS40" s="133"/>
      <c r="AT40" s="134"/>
      <c r="AU40" s="134"/>
    </row>
    <row r="41" spans="1:47" x14ac:dyDescent="0.2">
      <c r="A41" s="132" t="s">
        <v>50</v>
      </c>
      <c r="B41" s="133"/>
      <c r="C41" s="133"/>
      <c r="D41" s="133"/>
      <c r="E41" s="133"/>
      <c r="F41" s="133">
        <v>37124</v>
      </c>
      <c r="G41" s="133">
        <v>37442</v>
      </c>
      <c r="H41" s="133">
        <v>37720</v>
      </c>
      <c r="I41" s="133">
        <v>37089</v>
      </c>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3"/>
      <c r="AN41" s="133">
        <v>37089</v>
      </c>
      <c r="AO41" s="133"/>
      <c r="AP41" s="133"/>
      <c r="AQ41" s="133"/>
      <c r="AR41" s="133"/>
      <c r="AS41" s="133"/>
      <c r="AT41" s="134"/>
      <c r="AU41" s="134"/>
    </row>
    <row r="42" spans="1:47" s="7" customFormat="1" x14ac:dyDescent="0.2">
      <c r="A42" s="136" t="s">
        <v>51</v>
      </c>
      <c r="B42" s="133">
        <v>2744</v>
      </c>
      <c r="C42" s="133">
        <v>2926</v>
      </c>
      <c r="D42" s="133">
        <v>9475</v>
      </c>
      <c r="E42" s="133">
        <v>15565</v>
      </c>
      <c r="F42" s="133">
        <v>1690</v>
      </c>
      <c r="G42" s="133">
        <v>6977</v>
      </c>
      <c r="H42" s="133">
        <v>7256</v>
      </c>
      <c r="I42" s="133">
        <v>12278</v>
      </c>
      <c r="J42" s="134">
        <v>4178</v>
      </c>
      <c r="K42" s="134">
        <v>6209</v>
      </c>
      <c r="L42" s="134">
        <v>7819</v>
      </c>
      <c r="M42" s="134">
        <v>9789</v>
      </c>
      <c r="N42" s="134">
        <v>1559</v>
      </c>
      <c r="O42" s="134">
        <v>5053</v>
      </c>
      <c r="P42" s="134">
        <v>10403</v>
      </c>
      <c r="Q42" s="134">
        <v>12719</v>
      </c>
      <c r="R42" s="134">
        <v>3095</v>
      </c>
      <c r="S42" s="134">
        <v>5764</v>
      </c>
      <c r="T42" s="134">
        <v>14693</v>
      </c>
      <c r="U42" s="134">
        <v>26362</v>
      </c>
      <c r="V42" s="134">
        <v>5290</v>
      </c>
      <c r="W42" s="134">
        <v>7274</v>
      </c>
      <c r="X42" s="134">
        <v>15958</v>
      </c>
      <c r="Y42" s="134">
        <v>26980</v>
      </c>
      <c r="Z42" s="134">
        <v>2956</v>
      </c>
      <c r="AA42" s="134">
        <v>9961</v>
      </c>
      <c r="AB42" s="134">
        <v>23861</v>
      </c>
      <c r="AC42" s="134">
        <v>28692</v>
      </c>
      <c r="AD42" s="134">
        <v>1424</v>
      </c>
      <c r="AE42" s="134">
        <v>1300</v>
      </c>
      <c r="AF42" s="134">
        <v>3028</v>
      </c>
      <c r="AG42" s="134">
        <v>6371</v>
      </c>
      <c r="AH42" s="134">
        <v>3563</v>
      </c>
      <c r="AI42" s="134">
        <v>6373</v>
      </c>
      <c r="AJ42" s="134">
        <v>5364</v>
      </c>
      <c r="AK42" s="134">
        <v>15147</v>
      </c>
      <c r="AL42" s="134"/>
      <c r="AM42" s="133">
        <v>15565</v>
      </c>
      <c r="AN42" s="133">
        <v>12278</v>
      </c>
      <c r="AO42" s="133">
        <v>9789</v>
      </c>
      <c r="AP42" s="133">
        <f>Q42</f>
        <v>12719</v>
      </c>
      <c r="AQ42" s="133">
        <f>U42</f>
        <v>26362</v>
      </c>
      <c r="AR42" s="133">
        <f>Y42</f>
        <v>26980</v>
      </c>
      <c r="AS42" s="133">
        <f>AC42</f>
        <v>28692</v>
      </c>
      <c r="AT42" s="134">
        <f>AG42</f>
        <v>6371</v>
      </c>
      <c r="AU42" s="134">
        <f>AK42</f>
        <v>15147</v>
      </c>
    </row>
    <row r="43" spans="1:47" s="7" customFormat="1" x14ac:dyDescent="0.2">
      <c r="A43" s="136" t="s">
        <v>52</v>
      </c>
      <c r="B43" s="133">
        <v>-91193</v>
      </c>
      <c r="C43" s="133">
        <v>-239845</v>
      </c>
      <c r="D43" s="133">
        <v>-415320</v>
      </c>
      <c r="E43" s="133">
        <v>-618677</v>
      </c>
      <c r="F43" s="133">
        <v>-173196</v>
      </c>
      <c r="G43" s="133">
        <v>-395420</v>
      </c>
      <c r="H43" s="133">
        <v>-616015</v>
      </c>
      <c r="I43" s="133">
        <v>-957719</v>
      </c>
      <c r="J43" s="134">
        <v>-355244</v>
      </c>
      <c r="K43" s="134">
        <v>-822424</v>
      </c>
      <c r="L43" s="134">
        <v>-1447755</v>
      </c>
      <c r="M43" s="134">
        <v>-1934274</v>
      </c>
      <c r="N43" s="134">
        <v>-203038</v>
      </c>
      <c r="O43" s="134">
        <v>-413847</v>
      </c>
      <c r="P43" s="134">
        <v>-707652</v>
      </c>
      <c r="Q43" s="134">
        <v>-1120777</v>
      </c>
      <c r="R43" s="134">
        <v>-234440</v>
      </c>
      <c r="S43" s="134">
        <v>-612276</v>
      </c>
      <c r="T43" s="134">
        <v>-983324</v>
      </c>
      <c r="U43" s="134">
        <v>-1463209</v>
      </c>
      <c r="V43" s="134">
        <v>-386561</v>
      </c>
      <c r="W43" s="134">
        <v>-921615</v>
      </c>
      <c r="X43" s="134">
        <v>-1528985</v>
      </c>
      <c r="Y43" s="134">
        <v>-2047852</v>
      </c>
      <c r="Z43" s="134">
        <v>-357546</v>
      </c>
      <c r="AA43" s="134">
        <v>-810378</v>
      </c>
      <c r="AB43" s="134">
        <v>-1157451</v>
      </c>
      <c r="AC43" s="134">
        <v>-1453386</v>
      </c>
      <c r="AD43" s="134">
        <v>-153753</v>
      </c>
      <c r="AE43" s="134">
        <v>-374979</v>
      </c>
      <c r="AF43" s="134">
        <v>-657880</v>
      </c>
      <c r="AG43" s="134">
        <v>-756290</v>
      </c>
      <c r="AH43" s="134">
        <v>-130664</v>
      </c>
      <c r="AI43" s="134">
        <v>-281230</v>
      </c>
      <c r="AJ43" s="134">
        <v>-438863</v>
      </c>
      <c r="AK43" s="134">
        <v>-560419</v>
      </c>
      <c r="AL43" s="134"/>
      <c r="AM43" s="133">
        <v>-618677</v>
      </c>
      <c r="AN43" s="133">
        <v>-957719</v>
      </c>
      <c r="AO43" s="133">
        <v>-1934274</v>
      </c>
      <c r="AP43" s="133">
        <f>Q43</f>
        <v>-1120777</v>
      </c>
      <c r="AQ43" s="133">
        <f>U43</f>
        <v>-1463209</v>
      </c>
      <c r="AR43" s="133">
        <f>Y43</f>
        <v>-2047852</v>
      </c>
      <c r="AS43" s="133">
        <f>AC43</f>
        <v>-1453386</v>
      </c>
      <c r="AT43" s="134">
        <f>AG43</f>
        <v>-756290</v>
      </c>
      <c r="AU43" s="134">
        <f>AK43</f>
        <v>-560419</v>
      </c>
    </row>
    <row r="44" spans="1:47" x14ac:dyDescent="0.2">
      <c r="A44" s="132" t="s">
        <v>174</v>
      </c>
      <c r="B44" s="133"/>
      <c r="C44" s="133"/>
      <c r="D44" s="133"/>
      <c r="E44" s="133"/>
      <c r="F44" s="133"/>
      <c r="G44" s="133"/>
      <c r="H44" s="133"/>
      <c r="I44" s="133"/>
      <c r="J44" s="134"/>
      <c r="K44" s="134"/>
      <c r="L44" s="134"/>
      <c r="M44" s="134"/>
      <c r="N44" s="134">
        <v>-234000</v>
      </c>
      <c r="O44" s="134">
        <v>-234000</v>
      </c>
      <c r="P44" s="134">
        <v>-234000</v>
      </c>
      <c r="Q44" s="134">
        <v>-234000</v>
      </c>
      <c r="R44" s="134"/>
      <c r="S44" s="134"/>
      <c r="T44" s="134"/>
      <c r="U44" s="134"/>
      <c r="V44" s="134"/>
      <c r="W44" s="134"/>
      <c r="X44" s="134"/>
      <c r="Y44" s="134"/>
      <c r="Z44" s="134"/>
      <c r="AA44" s="134"/>
      <c r="AB44" s="134"/>
      <c r="AC44" s="134"/>
      <c r="AD44" s="134"/>
      <c r="AE44" s="134"/>
      <c r="AF44" s="134"/>
      <c r="AG44" s="134"/>
      <c r="AH44" s="134"/>
      <c r="AI44" s="134"/>
      <c r="AJ44" s="134"/>
      <c r="AK44" s="134"/>
      <c r="AL44" s="134"/>
      <c r="AM44" s="133"/>
      <c r="AN44" s="133"/>
      <c r="AO44" s="133"/>
      <c r="AP44" s="133">
        <f>Q44</f>
        <v>-234000</v>
      </c>
      <c r="AQ44" s="133"/>
      <c r="AR44" s="133"/>
      <c r="AS44" s="133"/>
      <c r="AT44" s="134"/>
      <c r="AU44" s="134"/>
    </row>
    <row r="45" spans="1:47" s="7" customFormat="1" x14ac:dyDescent="0.2">
      <c r="A45" s="132" t="s">
        <v>53</v>
      </c>
      <c r="B45" s="133">
        <v>402728</v>
      </c>
      <c r="C45" s="133">
        <v>419647</v>
      </c>
      <c r="D45" s="133">
        <v>450493</v>
      </c>
      <c r="E45" s="133">
        <v>465274</v>
      </c>
      <c r="F45" s="133">
        <v>3719</v>
      </c>
      <c r="G45" s="133">
        <v>6449</v>
      </c>
      <c r="H45" s="133">
        <v>6422</v>
      </c>
      <c r="I45" s="133">
        <v>11606</v>
      </c>
      <c r="J45" s="134">
        <v>21238</v>
      </c>
      <c r="K45" s="134">
        <v>19671</v>
      </c>
      <c r="L45" s="134">
        <v>94337</v>
      </c>
      <c r="M45" s="134">
        <v>95803</v>
      </c>
      <c r="N45" s="134">
        <v>34</v>
      </c>
      <c r="O45" s="134">
        <v>143172</v>
      </c>
      <c r="P45" s="134">
        <v>502047</v>
      </c>
      <c r="Q45" s="134">
        <v>510336</v>
      </c>
      <c r="R45" s="134">
        <v>12109</v>
      </c>
      <c r="S45" s="134">
        <v>47595</v>
      </c>
      <c r="T45" s="134">
        <v>147736</v>
      </c>
      <c r="U45" s="134">
        <v>450255</v>
      </c>
      <c r="V45" s="134">
        <v>428814</v>
      </c>
      <c r="W45" s="134">
        <v>517435</v>
      </c>
      <c r="X45" s="134">
        <v>691308</v>
      </c>
      <c r="Y45" s="134">
        <v>717539</v>
      </c>
      <c r="Z45" s="134">
        <v>239173</v>
      </c>
      <c r="AA45" s="134"/>
      <c r="AB45" s="134">
        <v>260743</v>
      </c>
      <c r="AC45" s="134">
        <v>283044</v>
      </c>
      <c r="AD45" s="134">
        <v>8508</v>
      </c>
      <c r="AE45" s="134">
        <v>8571</v>
      </c>
      <c r="AF45" s="134">
        <v>19311</v>
      </c>
      <c r="AG45" s="134">
        <v>-87368</v>
      </c>
      <c r="AH45" s="134">
        <v>-69331</v>
      </c>
      <c r="AI45" s="134">
        <v>-58107</v>
      </c>
      <c r="AJ45" s="134">
        <v>-13504</v>
      </c>
      <c r="AK45" s="134">
        <v>-231573</v>
      </c>
      <c r="AL45" s="134"/>
      <c r="AM45" s="133">
        <v>465274</v>
      </c>
      <c r="AN45" s="133">
        <v>11606</v>
      </c>
      <c r="AO45" s="133">
        <v>95803</v>
      </c>
      <c r="AP45" s="133">
        <f>Q45</f>
        <v>510336</v>
      </c>
      <c r="AQ45" s="133">
        <f>U45</f>
        <v>450255</v>
      </c>
      <c r="AR45" s="133">
        <f>Y45</f>
        <v>717539</v>
      </c>
      <c r="AS45" s="133">
        <f>AC45</f>
        <v>283044</v>
      </c>
      <c r="AT45" s="134">
        <f>AG45</f>
        <v>-87368</v>
      </c>
      <c r="AU45" s="134">
        <f>AK45</f>
        <v>-231573</v>
      </c>
    </row>
    <row r="46" spans="1:47" s="7" customFormat="1" x14ac:dyDescent="0.2">
      <c r="A46" s="132" t="s">
        <v>246</v>
      </c>
      <c r="B46" s="133"/>
      <c r="C46" s="133"/>
      <c r="D46" s="133"/>
      <c r="E46" s="133"/>
      <c r="F46" s="133"/>
      <c r="G46" s="133"/>
      <c r="H46" s="133"/>
      <c r="I46" s="133"/>
      <c r="J46" s="134"/>
      <c r="K46" s="134"/>
      <c r="L46" s="134"/>
      <c r="M46" s="134"/>
      <c r="N46" s="134"/>
      <c r="O46" s="134"/>
      <c r="P46" s="134"/>
      <c r="Q46" s="134"/>
      <c r="R46" s="134"/>
      <c r="S46" s="134"/>
      <c r="T46" s="134"/>
      <c r="U46" s="134"/>
      <c r="V46" s="134"/>
      <c r="W46" s="134"/>
      <c r="X46" s="134"/>
      <c r="Y46" s="134"/>
      <c r="Z46" s="134"/>
      <c r="AA46" s="134">
        <v>230953</v>
      </c>
      <c r="AB46" s="134"/>
      <c r="AC46" s="134"/>
      <c r="AD46" s="134"/>
      <c r="AE46" s="134">
        <v>306</v>
      </c>
      <c r="AF46" s="134">
        <v>-403089</v>
      </c>
      <c r="AG46" s="134">
        <v>-264412</v>
      </c>
      <c r="AH46" s="134">
        <v>-183318</v>
      </c>
      <c r="AI46" s="134">
        <v>-322510</v>
      </c>
      <c r="AJ46" s="134">
        <v>-213396</v>
      </c>
      <c r="AK46" s="134">
        <v>-197091</v>
      </c>
      <c r="AL46" s="134"/>
      <c r="AM46" s="133"/>
      <c r="AN46" s="133"/>
      <c r="AO46" s="133"/>
      <c r="AP46" s="133"/>
      <c r="AQ46" s="133"/>
      <c r="AR46" s="133"/>
      <c r="AS46" s="133"/>
      <c r="AT46" s="134">
        <f>AG46</f>
        <v>-264412</v>
      </c>
      <c r="AU46" s="134">
        <f>AK46</f>
        <v>-197091</v>
      </c>
    </row>
    <row r="47" spans="1:47" s="7" customFormat="1" x14ac:dyDescent="0.2">
      <c r="A47" s="132" t="s">
        <v>181</v>
      </c>
      <c r="B47" s="133">
        <v>-27948</v>
      </c>
      <c r="C47" s="133">
        <v>-12416</v>
      </c>
      <c r="D47" s="133">
        <v>-44015</v>
      </c>
      <c r="E47" s="133">
        <v>-54758</v>
      </c>
      <c r="F47" s="133">
        <v>-35079</v>
      </c>
      <c r="G47" s="133">
        <v>-35670</v>
      </c>
      <c r="H47" s="133">
        <v>-45039</v>
      </c>
      <c r="I47" s="133">
        <v>-199469</v>
      </c>
      <c r="J47" s="134">
        <v>-19255</v>
      </c>
      <c r="K47" s="134">
        <v>-24503</v>
      </c>
      <c r="L47" s="134">
        <v>-32317</v>
      </c>
      <c r="M47" s="134">
        <v>-33386</v>
      </c>
      <c r="N47" s="134">
        <v>-306526</v>
      </c>
      <c r="O47" s="134">
        <v>-508434</v>
      </c>
      <c r="P47" s="134">
        <v>-511188</v>
      </c>
      <c r="Q47" s="134">
        <v>-536098</v>
      </c>
      <c r="R47" s="134">
        <v>-7993</v>
      </c>
      <c r="S47" s="134">
        <v>-118143</v>
      </c>
      <c r="T47" s="134">
        <v>-730798</v>
      </c>
      <c r="U47" s="134">
        <v>-832472</v>
      </c>
      <c r="V47" s="134">
        <v>-250874</v>
      </c>
      <c r="W47" s="134">
        <v>-257846</v>
      </c>
      <c r="X47" s="134">
        <v>-270589</v>
      </c>
      <c r="Y47" s="134">
        <v>-523661</v>
      </c>
      <c r="Z47" s="134">
        <v>-7821</v>
      </c>
      <c r="AA47" s="134"/>
      <c r="AB47" s="134">
        <v>-33552</v>
      </c>
      <c r="AC47" s="134">
        <v>-144724</v>
      </c>
      <c r="AD47" s="134">
        <v>-159794</v>
      </c>
      <c r="AE47" s="134"/>
      <c r="AF47" s="134"/>
      <c r="AG47" s="134"/>
      <c r="AH47" s="134"/>
      <c r="AI47" s="134"/>
      <c r="AJ47" s="134"/>
      <c r="AK47" s="134"/>
      <c r="AL47" s="134"/>
      <c r="AM47" s="133">
        <v>-54758</v>
      </c>
      <c r="AN47" s="133">
        <v>-199469</v>
      </c>
      <c r="AO47" s="133">
        <v>-33386</v>
      </c>
      <c r="AP47" s="133">
        <f>Q47</f>
        <v>-536098</v>
      </c>
      <c r="AQ47" s="133">
        <f>U47</f>
        <v>-832472</v>
      </c>
      <c r="AR47" s="133">
        <f>Y47</f>
        <v>-523661</v>
      </c>
      <c r="AS47" s="133">
        <f>AC47</f>
        <v>-144724</v>
      </c>
      <c r="AT47" s="134"/>
      <c r="AU47" s="134"/>
    </row>
    <row r="48" spans="1:47" s="7" customFormat="1" x14ac:dyDescent="0.2">
      <c r="A48" s="132" t="s">
        <v>247</v>
      </c>
      <c r="B48" s="133"/>
      <c r="C48" s="133"/>
      <c r="D48" s="133"/>
      <c r="E48" s="133"/>
      <c r="F48" s="133"/>
      <c r="G48" s="133"/>
      <c r="H48" s="133"/>
      <c r="I48" s="133"/>
      <c r="J48" s="134"/>
      <c r="K48" s="134"/>
      <c r="L48" s="134"/>
      <c r="M48" s="134"/>
      <c r="N48" s="134"/>
      <c r="O48" s="134"/>
      <c r="P48" s="134"/>
      <c r="Q48" s="134"/>
      <c r="R48" s="134"/>
      <c r="S48" s="134"/>
      <c r="T48" s="134"/>
      <c r="U48" s="134"/>
      <c r="V48" s="134"/>
      <c r="W48" s="134"/>
      <c r="X48" s="134"/>
      <c r="Y48" s="134"/>
      <c r="Z48" s="134"/>
      <c r="AA48" s="134">
        <v>-295</v>
      </c>
      <c r="AB48" s="134"/>
      <c r="AC48" s="134"/>
      <c r="AD48" s="134"/>
      <c r="AH48" s="134"/>
      <c r="AI48" s="134"/>
      <c r="AJ48" s="134"/>
      <c r="AK48" s="134"/>
      <c r="AL48" s="134"/>
      <c r="AM48" s="133"/>
      <c r="AN48" s="133"/>
      <c r="AO48" s="133"/>
      <c r="AP48" s="133"/>
      <c r="AQ48" s="133"/>
      <c r="AR48" s="133"/>
      <c r="AS48" s="133"/>
    </row>
    <row r="49" spans="1:47" s="7" customFormat="1" x14ac:dyDescent="0.2">
      <c r="A49" s="132" t="s">
        <v>254</v>
      </c>
      <c r="B49" s="133"/>
      <c r="C49" s="133"/>
      <c r="D49" s="133"/>
      <c r="E49" s="133"/>
      <c r="F49" s="133"/>
      <c r="G49" s="133"/>
      <c r="H49" s="133"/>
      <c r="I49" s="133"/>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v>46169</v>
      </c>
      <c r="AG49" s="134">
        <v>46169</v>
      </c>
      <c r="AH49" s="134"/>
      <c r="AI49" s="134"/>
      <c r="AJ49" s="134"/>
      <c r="AK49" s="134"/>
      <c r="AL49" s="134"/>
      <c r="AM49" s="133"/>
      <c r="AN49" s="133"/>
      <c r="AO49" s="133"/>
      <c r="AP49" s="133"/>
      <c r="AQ49" s="133"/>
      <c r="AR49" s="133"/>
      <c r="AS49" s="133"/>
      <c r="AT49" s="134">
        <f>AG49</f>
        <v>46169</v>
      </c>
      <c r="AU49" s="134"/>
    </row>
    <row r="50" spans="1:47" s="7" customFormat="1" x14ac:dyDescent="0.2">
      <c r="A50" s="132" t="s">
        <v>54</v>
      </c>
      <c r="B50" s="133"/>
      <c r="C50" s="133"/>
      <c r="D50" s="133"/>
      <c r="E50" s="133"/>
      <c r="F50" s="133"/>
      <c r="G50" s="133">
        <v>-133096</v>
      </c>
      <c r="H50" s="133">
        <v>-136520</v>
      </c>
      <c r="I50" s="133">
        <v>-134300</v>
      </c>
      <c r="J50" s="134"/>
      <c r="K50" s="134"/>
      <c r="L50" s="134"/>
      <c r="M50" s="134">
        <v>-12839</v>
      </c>
      <c r="N50" s="134">
        <v>-128532</v>
      </c>
      <c r="O50" s="134">
        <v>-316191</v>
      </c>
      <c r="P50" s="134">
        <v>-333500</v>
      </c>
      <c r="Q50" s="134">
        <v>-403592</v>
      </c>
      <c r="R50" s="134"/>
      <c r="S50" s="134"/>
      <c r="T50" s="134"/>
      <c r="U50" s="134"/>
      <c r="V50" s="134"/>
      <c r="W50" s="134"/>
      <c r="X50" s="134"/>
      <c r="Y50" s="134"/>
      <c r="Z50" s="134"/>
      <c r="AA50" s="134"/>
      <c r="AB50" s="134"/>
      <c r="AC50" s="134"/>
      <c r="AD50" s="134"/>
      <c r="AE50" s="134"/>
      <c r="AF50" s="134"/>
      <c r="AG50" s="134"/>
      <c r="AH50" s="134"/>
      <c r="AI50" s="134"/>
      <c r="AJ50" s="134"/>
      <c r="AK50" s="134"/>
      <c r="AL50" s="134"/>
      <c r="AM50" s="133"/>
      <c r="AN50" s="133">
        <v>-134300</v>
      </c>
      <c r="AO50" s="133">
        <v>-12839</v>
      </c>
      <c r="AP50" s="133">
        <f>Q50</f>
        <v>-403592</v>
      </c>
      <c r="AQ50" s="133"/>
      <c r="AR50" s="133"/>
      <c r="AS50" s="133"/>
      <c r="AT50" s="134"/>
      <c r="AU50" s="134"/>
    </row>
    <row r="51" spans="1:47" x14ac:dyDescent="0.2">
      <c r="A51" s="132" t="s">
        <v>161</v>
      </c>
      <c r="B51" s="133"/>
      <c r="C51" s="133"/>
      <c r="D51" s="133"/>
      <c r="E51" s="133"/>
      <c r="F51" s="133"/>
      <c r="G51" s="133">
        <v>-59407</v>
      </c>
      <c r="H51" s="133">
        <v>-59848</v>
      </c>
      <c r="I51" s="133">
        <v>-60063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3"/>
      <c r="AN51" s="133">
        <v>-60063</v>
      </c>
      <c r="AO51" s="133"/>
      <c r="AP51" s="133"/>
      <c r="AQ51" s="133"/>
      <c r="AR51" s="133"/>
      <c r="AS51" s="133"/>
      <c r="AT51" s="134"/>
      <c r="AU51" s="134"/>
    </row>
    <row r="52" spans="1:47" ht="9" customHeight="1" x14ac:dyDescent="0.2">
      <c r="A52" s="132" t="s">
        <v>55</v>
      </c>
      <c r="B52" s="133">
        <v>96</v>
      </c>
      <c r="C52" s="133">
        <v>-417</v>
      </c>
      <c r="D52" s="133">
        <v>-1534</v>
      </c>
      <c r="E52" s="133">
        <v>339</v>
      </c>
      <c r="F52" s="133">
        <v>-766</v>
      </c>
      <c r="G52" s="133">
        <v>-1000</v>
      </c>
      <c r="H52" s="133">
        <v>-1007</v>
      </c>
      <c r="I52" s="133">
        <v>-1020</v>
      </c>
      <c r="J52" s="134"/>
      <c r="K52" s="134">
        <v>-12529</v>
      </c>
      <c r="L52" s="134">
        <v>-11645</v>
      </c>
      <c r="M52" s="134">
        <v>-1006</v>
      </c>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3">
        <v>339</v>
      </c>
      <c r="AN52" s="133">
        <v>-1020</v>
      </c>
      <c r="AO52" s="133">
        <v>-1006</v>
      </c>
      <c r="AP52" s="133"/>
      <c r="AQ52" s="133"/>
      <c r="AR52" s="133"/>
      <c r="AS52" s="133"/>
      <c r="AT52" s="134"/>
      <c r="AU52" s="134"/>
    </row>
    <row r="53" spans="1:47" x14ac:dyDescent="0.2">
      <c r="A53" s="137" t="s">
        <v>56</v>
      </c>
      <c r="B53" s="138">
        <v>227062</v>
      </c>
      <c r="C53" s="138">
        <v>-639760</v>
      </c>
      <c r="D53" s="138">
        <v>-1074401</v>
      </c>
      <c r="E53" s="138">
        <v>-2042779</v>
      </c>
      <c r="F53" s="138">
        <v>-166508</v>
      </c>
      <c r="G53" s="138">
        <v>-573725</v>
      </c>
      <c r="H53" s="138">
        <v>-807031</v>
      </c>
      <c r="I53" s="138">
        <v>-1267560</v>
      </c>
      <c r="J53" s="139">
        <v>-677180</v>
      </c>
      <c r="K53" s="139">
        <v>-961743</v>
      </c>
      <c r="L53" s="139">
        <v>-1552077</v>
      </c>
      <c r="M53" s="139">
        <v>-2398580</v>
      </c>
      <c r="N53" s="139">
        <v>-870503</v>
      </c>
      <c r="O53" s="139">
        <v>-1324247</v>
      </c>
      <c r="P53" s="139">
        <v>-1273890</v>
      </c>
      <c r="Q53" s="139">
        <v>-1771412</v>
      </c>
      <c r="R53" s="139">
        <v>-227229</v>
      </c>
      <c r="S53" s="139">
        <v>-677060</v>
      </c>
      <c r="T53" s="139">
        <v>-1551693</v>
      </c>
      <c r="U53" s="139">
        <v>-1847427</v>
      </c>
      <c r="V53" s="139">
        <v>-203331</v>
      </c>
      <c r="W53" s="139">
        <v>-804752</v>
      </c>
      <c r="X53" s="139">
        <v>-1134059</v>
      </c>
      <c r="Y53" s="139">
        <v>-1868745</v>
      </c>
      <c r="Z53" s="139">
        <v>-123238</v>
      </c>
      <c r="AA53" s="139">
        <f>SUM(AA35:AA52)</f>
        <v>-726269</v>
      </c>
      <c r="AB53" s="139">
        <v>-1062909</v>
      </c>
      <c r="AC53" s="139">
        <v>-1442884</v>
      </c>
      <c r="AD53" s="139">
        <f>SUM(AD35:AD52)</f>
        <v>-313224</v>
      </c>
      <c r="AE53" s="139">
        <f>SUM(AE35:AE52)</f>
        <v>-374411</v>
      </c>
      <c r="AF53" s="139">
        <f>SUM(AF35:AF52)</f>
        <v>-1002070</v>
      </c>
      <c r="AG53" s="139">
        <v>-1065139</v>
      </c>
      <c r="AH53" s="139">
        <v>-379750</v>
      </c>
      <c r="AI53" s="139">
        <v>-655474</v>
      </c>
      <c r="AJ53" s="139">
        <v>-660399</v>
      </c>
      <c r="AK53" s="139">
        <v>-973936</v>
      </c>
      <c r="AL53" s="139"/>
      <c r="AM53" s="138">
        <v>-2042779</v>
      </c>
      <c r="AN53" s="138">
        <v>-1267560</v>
      </c>
      <c r="AO53" s="138">
        <v>-2398580</v>
      </c>
      <c r="AP53" s="138">
        <f>Q53</f>
        <v>-1771412</v>
      </c>
      <c r="AQ53" s="138">
        <f>U53</f>
        <v>-1847427</v>
      </c>
      <c r="AR53" s="138">
        <f>Y53</f>
        <v>-1868745</v>
      </c>
      <c r="AS53" s="138">
        <f>AC53</f>
        <v>-1442884</v>
      </c>
      <c r="AT53" s="139">
        <f>AG53</f>
        <v>-1065139</v>
      </c>
      <c r="AU53" s="139">
        <f>AK53</f>
        <v>-973936</v>
      </c>
    </row>
    <row r="54" spans="1:47" x14ac:dyDescent="0.2">
      <c r="A54" s="140"/>
      <c r="B54" s="130"/>
      <c r="C54" s="130"/>
      <c r="D54" s="130"/>
      <c r="E54" s="130"/>
      <c r="F54" s="130"/>
      <c r="G54" s="130"/>
      <c r="H54" s="130"/>
      <c r="I54" s="130"/>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0"/>
      <c r="AN54" s="130"/>
      <c r="AO54" s="130"/>
      <c r="AP54" s="130"/>
      <c r="AQ54" s="130"/>
      <c r="AR54" s="130"/>
      <c r="AS54" s="130"/>
      <c r="AT54" s="131"/>
      <c r="AU54" s="131"/>
    </row>
    <row r="55" spans="1:47" x14ac:dyDescent="0.2">
      <c r="A55" s="141" t="s">
        <v>57</v>
      </c>
      <c r="B55" s="130"/>
      <c r="C55" s="130"/>
      <c r="D55" s="130"/>
      <c r="E55" s="130"/>
      <c r="F55" s="130"/>
      <c r="G55" s="130"/>
      <c r="H55" s="130"/>
      <c r="I55" s="130"/>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0"/>
      <c r="AN55" s="130"/>
      <c r="AO55" s="130"/>
      <c r="AP55" s="130"/>
      <c r="AQ55" s="130"/>
      <c r="AR55" s="130"/>
      <c r="AS55" s="130"/>
      <c r="AT55" s="131"/>
      <c r="AU55" s="131"/>
    </row>
    <row r="56" spans="1:47" x14ac:dyDescent="0.2">
      <c r="A56" s="98" t="s">
        <v>58</v>
      </c>
      <c r="B56" s="107">
        <v>8096</v>
      </c>
      <c r="C56" s="107">
        <v>8391</v>
      </c>
      <c r="D56" s="107">
        <v>12026</v>
      </c>
      <c r="E56" s="107">
        <v>224870</v>
      </c>
      <c r="F56" s="107">
        <v>22689</v>
      </c>
      <c r="G56" s="107">
        <v>30118</v>
      </c>
      <c r="H56" s="107">
        <v>39956</v>
      </c>
      <c r="I56" s="107">
        <v>268844</v>
      </c>
      <c r="J56" s="108">
        <v>853254</v>
      </c>
      <c r="K56" s="108">
        <v>937238</v>
      </c>
      <c r="L56" s="109">
        <v>3555504</v>
      </c>
      <c r="M56" s="109">
        <v>3735078</v>
      </c>
      <c r="N56" s="109">
        <v>262905</v>
      </c>
      <c r="O56" s="109">
        <v>374288</v>
      </c>
      <c r="P56" s="108">
        <v>570813</v>
      </c>
      <c r="Q56" s="108">
        <v>1076756</v>
      </c>
      <c r="R56" s="108">
        <v>481999</v>
      </c>
      <c r="S56" s="108">
        <v>538594</v>
      </c>
      <c r="T56" s="108">
        <v>819647</v>
      </c>
      <c r="U56" s="108">
        <v>933873</v>
      </c>
      <c r="V56" s="108">
        <v>14677</v>
      </c>
      <c r="W56" s="108">
        <v>249839</v>
      </c>
      <c r="X56" s="108">
        <v>829950</v>
      </c>
      <c r="Y56" s="108">
        <v>1967362</v>
      </c>
      <c r="Z56" s="108">
        <v>86256</v>
      </c>
      <c r="AA56" s="108">
        <v>436595</v>
      </c>
      <c r="AB56" s="108">
        <v>1319717</v>
      </c>
      <c r="AC56" s="108">
        <v>1819425</v>
      </c>
      <c r="AD56" s="108">
        <v>852323</v>
      </c>
      <c r="AE56" s="108">
        <v>1213946</v>
      </c>
      <c r="AF56" s="108">
        <v>1663967</v>
      </c>
      <c r="AG56" s="108">
        <v>2005458</v>
      </c>
      <c r="AH56" s="108">
        <v>1972</v>
      </c>
      <c r="AI56" s="108">
        <v>11169</v>
      </c>
      <c r="AJ56" s="108">
        <v>30403</v>
      </c>
      <c r="AK56" s="108">
        <v>110175</v>
      </c>
      <c r="AL56" s="108"/>
      <c r="AM56" s="107">
        <v>224870</v>
      </c>
      <c r="AN56" s="107">
        <v>268844</v>
      </c>
      <c r="AO56" s="107">
        <v>3735078</v>
      </c>
      <c r="AP56" s="107">
        <f>Q56</f>
        <v>1076756</v>
      </c>
      <c r="AQ56" s="107">
        <f>U56</f>
        <v>933873</v>
      </c>
      <c r="AR56" s="107">
        <f>Y56</f>
        <v>1967362</v>
      </c>
      <c r="AS56" s="107">
        <f>AC56</f>
        <v>1819425</v>
      </c>
      <c r="AT56" s="108">
        <f>AG56</f>
        <v>2005458</v>
      </c>
      <c r="AU56" s="108">
        <f>AK56</f>
        <v>110175</v>
      </c>
    </row>
    <row r="57" spans="1:47" x14ac:dyDescent="0.2">
      <c r="A57" s="98" t="s">
        <v>59</v>
      </c>
      <c r="B57" s="107">
        <v>-14870</v>
      </c>
      <c r="C57" s="107">
        <v>-93156</v>
      </c>
      <c r="D57" s="107">
        <v>-126862</v>
      </c>
      <c r="E57" s="107">
        <v>-183305</v>
      </c>
      <c r="F57" s="107">
        <v>-170343</v>
      </c>
      <c r="G57" s="107">
        <v>-225372</v>
      </c>
      <c r="H57" s="107">
        <v>-259029</v>
      </c>
      <c r="I57" s="107">
        <v>-451802</v>
      </c>
      <c r="J57" s="108">
        <v>-438492</v>
      </c>
      <c r="K57" s="108">
        <v>-976767</v>
      </c>
      <c r="L57" s="109">
        <v>-1741630</v>
      </c>
      <c r="M57" s="109">
        <v>-2248720</v>
      </c>
      <c r="N57" s="109">
        <v>-320770</v>
      </c>
      <c r="O57" s="109">
        <v>-505774</v>
      </c>
      <c r="P57" s="108">
        <v>-1011281</v>
      </c>
      <c r="Q57" s="108">
        <v>-1540242</v>
      </c>
      <c r="R57" s="108">
        <v>-460455</v>
      </c>
      <c r="S57" s="108">
        <v>-610307</v>
      </c>
      <c r="T57" s="108">
        <v>-673877</v>
      </c>
      <c r="U57" s="108">
        <v>-802143</v>
      </c>
      <c r="V57" s="108">
        <v>-122554</v>
      </c>
      <c r="W57" s="108">
        <v>-354093</v>
      </c>
      <c r="X57" s="108">
        <v>-1171552</v>
      </c>
      <c r="Y57" s="108">
        <v>-1683536</v>
      </c>
      <c r="Z57" s="108">
        <v>-264259</v>
      </c>
      <c r="AA57" s="108">
        <v>-384076</v>
      </c>
      <c r="AB57" s="108">
        <v>-551416</v>
      </c>
      <c r="AC57" s="108">
        <v>-1798836</v>
      </c>
      <c r="AD57" s="108">
        <v>-553061</v>
      </c>
      <c r="AE57" s="108">
        <v>-1064811</v>
      </c>
      <c r="AF57" s="108">
        <v>-1665923</v>
      </c>
      <c r="AG57" s="108">
        <v>-1995800</v>
      </c>
      <c r="AH57" s="108">
        <v>-148632</v>
      </c>
      <c r="AI57" s="108">
        <v>-292559</v>
      </c>
      <c r="AJ57" s="108">
        <v>-602217</v>
      </c>
      <c r="AK57" s="108">
        <v>-892463</v>
      </c>
      <c r="AL57" s="108"/>
      <c r="AM57" s="107">
        <v>-183305</v>
      </c>
      <c r="AN57" s="107">
        <v>-451802</v>
      </c>
      <c r="AO57" s="107">
        <v>-2248720</v>
      </c>
      <c r="AP57" s="107">
        <f>Q57</f>
        <v>-1540242</v>
      </c>
      <c r="AQ57" s="107">
        <f>U57</f>
        <v>-802143</v>
      </c>
      <c r="AR57" s="107">
        <f>Y57</f>
        <v>-1683536</v>
      </c>
      <c r="AS57" s="107">
        <f>AC57</f>
        <v>-1798836</v>
      </c>
      <c r="AT57" s="108">
        <f>AG57</f>
        <v>-1995800</v>
      </c>
      <c r="AU57" s="108">
        <f>AK57</f>
        <v>-892463</v>
      </c>
    </row>
    <row r="58" spans="1:47" x14ac:dyDescent="0.2">
      <c r="A58" s="98" t="s">
        <v>60</v>
      </c>
      <c r="B58" s="107"/>
      <c r="C58" s="107"/>
      <c r="D58" s="107"/>
      <c r="E58" s="107">
        <v>-379</v>
      </c>
      <c r="F58" s="107">
        <v>-739</v>
      </c>
      <c r="G58" s="107">
        <v>-1522</v>
      </c>
      <c r="H58" s="107">
        <v>-2059</v>
      </c>
      <c r="I58" s="107">
        <v>-3066</v>
      </c>
      <c r="J58" s="108">
        <v>-8980</v>
      </c>
      <c r="K58" s="108">
        <v>-53374</v>
      </c>
      <c r="L58" s="109">
        <v>-73054</v>
      </c>
      <c r="M58" s="109">
        <v>-90675</v>
      </c>
      <c r="N58" s="109">
        <v>-17647</v>
      </c>
      <c r="O58" s="109">
        <v>-26679</v>
      </c>
      <c r="P58" s="108">
        <v>-38635</v>
      </c>
      <c r="Q58" s="108">
        <v>-69094</v>
      </c>
      <c r="R58" s="108">
        <v>-16626</v>
      </c>
      <c r="S58" s="108">
        <v>-26251</v>
      </c>
      <c r="T58" s="108">
        <v>-36734</v>
      </c>
      <c r="U58" s="108">
        <v>-46356</v>
      </c>
      <c r="V58" s="108">
        <v>-12880</v>
      </c>
      <c r="W58" s="108">
        <v>-25458</v>
      </c>
      <c r="X58" s="108">
        <v>-29805</v>
      </c>
      <c r="Y58" s="108">
        <v>-32525</v>
      </c>
      <c r="Z58" s="108">
        <v>-4818</v>
      </c>
      <c r="AA58" s="108">
        <v>-10719</v>
      </c>
      <c r="AB58" s="108">
        <v>-17200</v>
      </c>
      <c r="AC58" s="108">
        <v>-23116</v>
      </c>
      <c r="AD58" s="108">
        <v>-7021</v>
      </c>
      <c r="AE58" s="108">
        <v>-12551</v>
      </c>
      <c r="AF58" s="108">
        <v>-19495</v>
      </c>
      <c r="AG58" s="108">
        <v>-24400</v>
      </c>
      <c r="AH58" s="108">
        <v>-5750</v>
      </c>
      <c r="AI58" s="108">
        <v>-11405</v>
      </c>
      <c r="AJ58" s="108">
        <v>-15218</v>
      </c>
      <c r="AK58" s="108">
        <v>-18128</v>
      </c>
      <c r="AL58" s="108"/>
      <c r="AM58" s="107">
        <v>-379</v>
      </c>
      <c r="AN58" s="107">
        <v>-3066</v>
      </c>
      <c r="AO58" s="107">
        <v>-90675</v>
      </c>
      <c r="AP58" s="107">
        <f>Q58</f>
        <v>-69094</v>
      </c>
      <c r="AQ58" s="107">
        <f>U58</f>
        <v>-46356</v>
      </c>
      <c r="AR58" s="107">
        <f>Y58</f>
        <v>-32525</v>
      </c>
      <c r="AS58" s="107">
        <f>AC58</f>
        <v>-23116</v>
      </c>
      <c r="AT58" s="108">
        <f>AG58</f>
        <v>-24400</v>
      </c>
      <c r="AU58" s="108">
        <f>AK58</f>
        <v>-18128</v>
      </c>
    </row>
    <row r="59" spans="1:47" x14ac:dyDescent="0.2">
      <c r="A59" s="136" t="s">
        <v>61</v>
      </c>
      <c r="B59" s="107"/>
      <c r="C59" s="107"/>
      <c r="D59" s="107"/>
      <c r="E59" s="107"/>
      <c r="F59" s="107">
        <v>78469</v>
      </c>
      <c r="G59" s="107">
        <v>78469</v>
      </c>
      <c r="H59" s="107">
        <v>78469</v>
      </c>
      <c r="I59" s="107">
        <v>78469</v>
      </c>
      <c r="J59" s="108"/>
      <c r="K59" s="108"/>
      <c r="L59" s="109"/>
      <c r="M59" s="109"/>
      <c r="N59" s="109"/>
      <c r="O59" s="109"/>
      <c r="P59" s="108"/>
      <c r="Q59" s="108"/>
      <c r="R59" s="108"/>
      <c r="S59" s="108"/>
      <c r="T59" s="108"/>
      <c r="U59" s="108"/>
      <c r="V59" s="108"/>
      <c r="W59" s="108">
        <v>313246</v>
      </c>
      <c r="X59" s="108">
        <v>313246</v>
      </c>
      <c r="Y59" s="108">
        <v>313246</v>
      </c>
      <c r="Z59" s="108"/>
      <c r="AA59" s="108"/>
      <c r="AB59" s="108"/>
      <c r="AC59" s="108"/>
      <c r="AD59" s="108"/>
      <c r="AE59" s="108"/>
      <c r="AF59" s="108"/>
      <c r="AG59" s="108"/>
      <c r="AH59" s="108"/>
      <c r="AI59" s="108"/>
      <c r="AJ59" s="108"/>
      <c r="AK59" s="108"/>
      <c r="AL59" s="108"/>
      <c r="AM59" s="107"/>
      <c r="AN59" s="107">
        <v>78469</v>
      </c>
      <c r="AO59" s="107"/>
      <c r="AP59" s="107"/>
      <c r="AQ59" s="107"/>
      <c r="AR59" s="107">
        <f>Y59</f>
        <v>313246</v>
      </c>
      <c r="AS59" s="107"/>
      <c r="AT59" s="108"/>
      <c r="AU59" s="108"/>
    </row>
    <row r="60" spans="1:47" x14ac:dyDescent="0.2">
      <c r="A60" s="132" t="s">
        <v>62</v>
      </c>
      <c r="B60" s="133"/>
      <c r="C60" s="133"/>
      <c r="D60" s="133"/>
      <c r="E60" s="133"/>
      <c r="F60" s="133"/>
      <c r="G60" s="133"/>
      <c r="H60" s="133"/>
      <c r="I60" s="133"/>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3"/>
      <c r="AN60" s="133"/>
      <c r="AO60" s="133"/>
      <c r="AP60" s="133"/>
      <c r="AQ60" s="133"/>
      <c r="AR60" s="133"/>
      <c r="AS60" s="133"/>
      <c r="AT60" s="134"/>
      <c r="AU60" s="134"/>
    </row>
    <row r="61" spans="1:47" x14ac:dyDescent="0.2">
      <c r="A61" s="132" t="s">
        <v>63</v>
      </c>
      <c r="B61" s="133">
        <v>-104000</v>
      </c>
      <c r="C61" s="133">
        <v>-104000</v>
      </c>
      <c r="D61" s="133">
        <v>-104000</v>
      </c>
      <c r="E61" s="133">
        <v>-104000</v>
      </c>
      <c r="F61" s="133"/>
      <c r="G61" s="133"/>
      <c r="H61" s="133"/>
      <c r="I61" s="133"/>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3">
        <v>-104000</v>
      </c>
      <c r="AN61" s="133"/>
      <c r="AO61" s="133"/>
      <c r="AP61" s="133"/>
      <c r="AQ61" s="133"/>
      <c r="AR61" s="133"/>
      <c r="AS61" s="133"/>
      <c r="AT61" s="134"/>
      <c r="AU61" s="134"/>
    </row>
    <row r="62" spans="1:47" x14ac:dyDescent="0.2">
      <c r="A62" s="132" t="s">
        <v>143</v>
      </c>
      <c r="B62" s="133"/>
      <c r="C62" s="133"/>
      <c r="D62" s="133"/>
      <c r="E62" s="133">
        <v>-83547</v>
      </c>
      <c r="F62" s="133"/>
      <c r="G62" s="133"/>
      <c r="H62" s="133"/>
      <c r="I62" s="133"/>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3">
        <v>-83547</v>
      </c>
      <c r="AN62" s="133"/>
      <c r="AO62" s="133"/>
      <c r="AP62" s="133"/>
      <c r="AQ62" s="133"/>
      <c r="AR62" s="133"/>
      <c r="AS62" s="133"/>
      <c r="AT62" s="134"/>
      <c r="AU62" s="134"/>
    </row>
    <row r="63" spans="1:47" x14ac:dyDescent="0.2">
      <c r="A63" s="132" t="s">
        <v>170</v>
      </c>
      <c r="B63" s="133"/>
      <c r="C63" s="133"/>
      <c r="D63" s="133"/>
      <c r="E63" s="133"/>
      <c r="F63" s="133"/>
      <c r="G63" s="133"/>
      <c r="H63" s="133"/>
      <c r="I63" s="133"/>
      <c r="J63" s="134"/>
      <c r="K63" s="134"/>
      <c r="L63" s="134"/>
      <c r="M63" s="134">
        <v>258182</v>
      </c>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3"/>
      <c r="AN63" s="133"/>
      <c r="AO63" s="133">
        <v>258182</v>
      </c>
      <c r="AP63" s="133"/>
      <c r="AQ63" s="133"/>
      <c r="AR63" s="133"/>
      <c r="AS63" s="133"/>
      <c r="AT63" s="134"/>
      <c r="AU63" s="134"/>
    </row>
    <row r="64" spans="1:47" x14ac:dyDescent="0.2">
      <c r="A64" s="132" t="s">
        <v>64</v>
      </c>
      <c r="B64" s="133"/>
      <c r="C64" s="133"/>
      <c r="D64" s="133"/>
      <c r="E64" s="133">
        <v>-20228</v>
      </c>
      <c r="F64" s="133"/>
      <c r="G64" s="133">
        <v>-8070</v>
      </c>
      <c r="H64" s="133">
        <v>-21553</v>
      </c>
      <c r="I64" s="133">
        <v>-19146</v>
      </c>
      <c r="J64" s="134">
        <v>-21</v>
      </c>
      <c r="K64" s="134">
        <v>-5628</v>
      </c>
      <c r="L64" s="134">
        <v>-11696</v>
      </c>
      <c r="M64" s="134">
        <v>-12324</v>
      </c>
      <c r="N64" s="134">
        <v>-4</v>
      </c>
      <c r="O64" s="134">
        <v>-4</v>
      </c>
      <c r="P64" s="134">
        <v>-4</v>
      </c>
      <c r="Q64" s="134">
        <v>-127</v>
      </c>
      <c r="R64" s="134"/>
      <c r="S64" s="134"/>
      <c r="T64" s="134"/>
      <c r="U64" s="134"/>
      <c r="V64" s="134"/>
      <c r="W64" s="134"/>
      <c r="X64" s="134"/>
      <c r="Y64" s="134"/>
      <c r="Z64" s="134"/>
      <c r="AA64" s="134"/>
      <c r="AB64" s="134"/>
      <c r="AC64" s="134"/>
      <c r="AD64" s="134"/>
      <c r="AE64" s="134"/>
      <c r="AF64" s="134"/>
      <c r="AG64" s="134"/>
      <c r="AH64" s="134"/>
      <c r="AI64" s="134"/>
      <c r="AJ64" s="134"/>
      <c r="AK64" s="134"/>
      <c r="AL64" s="134"/>
      <c r="AM64" s="133">
        <v>-20228</v>
      </c>
      <c r="AN64" s="133">
        <v>-19146</v>
      </c>
      <c r="AO64" s="133">
        <v>-12324</v>
      </c>
      <c r="AP64" s="133">
        <f>Q64</f>
        <v>-127</v>
      </c>
      <c r="AQ64" s="133"/>
      <c r="AR64" s="133"/>
      <c r="AS64" s="133"/>
      <c r="AT64" s="134"/>
      <c r="AU64" s="134"/>
    </row>
    <row r="65" spans="1:47" x14ac:dyDescent="0.2">
      <c r="A65" s="136" t="s">
        <v>65</v>
      </c>
      <c r="B65" s="133">
        <v>-398</v>
      </c>
      <c r="C65" s="133">
        <v>-336114</v>
      </c>
      <c r="D65" s="133">
        <v>-432376</v>
      </c>
      <c r="E65" s="133">
        <v>-766646</v>
      </c>
      <c r="F65" s="133">
        <v>-346</v>
      </c>
      <c r="G65" s="133">
        <v>-4258</v>
      </c>
      <c r="H65" s="133">
        <v>-347595</v>
      </c>
      <c r="I65" s="133">
        <v>-702983</v>
      </c>
      <c r="J65" s="134">
        <v>-252</v>
      </c>
      <c r="K65" s="134">
        <v>-3233</v>
      </c>
      <c r="L65" s="134">
        <v>-364506</v>
      </c>
      <c r="M65" s="134">
        <v>-842792</v>
      </c>
      <c r="N65" s="134">
        <v>-916</v>
      </c>
      <c r="O65" s="134">
        <v>-1031</v>
      </c>
      <c r="P65" s="134">
        <v>-1116</v>
      </c>
      <c r="Q65" s="134">
        <v>-1981</v>
      </c>
      <c r="R65" s="134">
        <v>-5</v>
      </c>
      <c r="S65" s="134">
        <v>-257</v>
      </c>
      <c r="T65" s="134">
        <v>-42965</v>
      </c>
      <c r="U65" s="134">
        <v>-164501</v>
      </c>
      <c r="V65" s="134">
        <v>-117</v>
      </c>
      <c r="W65" s="134">
        <v>-3748</v>
      </c>
      <c r="X65" s="134">
        <v>-247286</v>
      </c>
      <c r="Y65" s="134">
        <v>-516335</v>
      </c>
      <c r="Z65" s="134">
        <v>-133</v>
      </c>
      <c r="AA65" s="134">
        <v>-113835</v>
      </c>
      <c r="AB65" s="134">
        <v>-115880</v>
      </c>
      <c r="AC65" s="134">
        <v>-116529</v>
      </c>
      <c r="AD65" s="134">
        <v>-83</v>
      </c>
      <c r="AE65" s="134">
        <v>-110855</v>
      </c>
      <c r="AF65" s="134">
        <v>-113441</v>
      </c>
      <c r="AG65" s="134">
        <v>-113613</v>
      </c>
      <c r="AH65" s="134">
        <v>-16</v>
      </c>
      <c r="AI65" s="134">
        <v>-111193</v>
      </c>
      <c r="AJ65" s="134">
        <v>-114534</v>
      </c>
      <c r="AK65" s="134">
        <v>-225949</v>
      </c>
      <c r="AL65" s="134"/>
      <c r="AM65" s="133">
        <v>-766646</v>
      </c>
      <c r="AN65" s="133">
        <v>-702983</v>
      </c>
      <c r="AO65" s="133">
        <v>-842792</v>
      </c>
      <c r="AP65" s="133">
        <f>Q65</f>
        <v>-1981</v>
      </c>
      <c r="AQ65" s="133">
        <f>U65</f>
        <v>-164501</v>
      </c>
      <c r="AR65" s="133">
        <f>Y65</f>
        <v>-516335</v>
      </c>
      <c r="AS65" s="133">
        <f>AC65</f>
        <v>-116529</v>
      </c>
      <c r="AT65" s="134">
        <f>AG65</f>
        <v>-113613</v>
      </c>
      <c r="AU65" s="134">
        <f>AK65</f>
        <v>-225949</v>
      </c>
    </row>
    <row r="66" spans="1:47" x14ac:dyDescent="0.2">
      <c r="A66" s="142" t="s">
        <v>66</v>
      </c>
      <c r="B66" s="138">
        <v>-111172</v>
      </c>
      <c r="C66" s="138">
        <v>-524879</v>
      </c>
      <c r="D66" s="138">
        <v>-651212</v>
      </c>
      <c r="E66" s="138">
        <v>-933235</v>
      </c>
      <c r="F66" s="138">
        <v>-70270</v>
      </c>
      <c r="G66" s="138">
        <v>-130635</v>
      </c>
      <c r="H66" s="138">
        <v>-511811</v>
      </c>
      <c r="I66" s="138">
        <v>-829684</v>
      </c>
      <c r="J66" s="139">
        <v>405509</v>
      </c>
      <c r="K66" s="139">
        <v>-101764</v>
      </c>
      <c r="L66" s="139">
        <v>1364618</v>
      </c>
      <c r="M66" s="139">
        <v>798749</v>
      </c>
      <c r="N66" s="139">
        <v>-76432</v>
      </c>
      <c r="O66" s="139">
        <v>-159200</v>
      </c>
      <c r="P66" s="139">
        <v>-480223</v>
      </c>
      <c r="Q66" s="139">
        <v>-534688</v>
      </c>
      <c r="R66" s="139">
        <v>4913</v>
      </c>
      <c r="S66" s="139">
        <v>-98221</v>
      </c>
      <c r="T66" s="139">
        <v>66071</v>
      </c>
      <c r="U66" s="139">
        <v>-79127</v>
      </c>
      <c r="V66" s="139">
        <v>-120874</v>
      </c>
      <c r="W66" s="139">
        <v>179786</v>
      </c>
      <c r="X66" s="139">
        <v>-305447</v>
      </c>
      <c r="Y66" s="139">
        <v>48212</v>
      </c>
      <c r="Z66" s="139">
        <v>-182954</v>
      </c>
      <c r="AA66" s="139">
        <f>SUM(AA56:AA65)</f>
        <v>-72035</v>
      </c>
      <c r="AB66" s="139">
        <v>635221</v>
      </c>
      <c r="AC66" s="139">
        <v>-119056</v>
      </c>
      <c r="AD66" s="139">
        <v>292158</v>
      </c>
      <c r="AE66" s="139">
        <f>SUM(AE56:AE65)</f>
        <v>25729</v>
      </c>
      <c r="AF66" s="139">
        <f>SUM(AF56:AF65)</f>
        <v>-134892</v>
      </c>
      <c r="AG66" s="139">
        <v>-128355</v>
      </c>
      <c r="AH66" s="139">
        <v>-152426</v>
      </c>
      <c r="AI66" s="139">
        <v>-403988</v>
      </c>
      <c r="AJ66" s="139">
        <v>-701566</v>
      </c>
      <c r="AK66" s="139">
        <v>-1026365</v>
      </c>
      <c r="AL66" s="139"/>
      <c r="AM66" s="138">
        <v>-933235</v>
      </c>
      <c r="AN66" s="138">
        <v>-829684</v>
      </c>
      <c r="AO66" s="138">
        <v>798749</v>
      </c>
      <c r="AP66" s="138">
        <f>Q66</f>
        <v>-534688</v>
      </c>
      <c r="AQ66" s="138">
        <f>U66</f>
        <v>-79127</v>
      </c>
      <c r="AR66" s="138">
        <f>Y66</f>
        <v>48212</v>
      </c>
      <c r="AS66" s="138">
        <f>AC66</f>
        <v>-119056</v>
      </c>
      <c r="AT66" s="139">
        <f>AG66</f>
        <v>-128355</v>
      </c>
      <c r="AU66" s="139">
        <f>AK66</f>
        <v>-1026365</v>
      </c>
    </row>
    <row r="67" spans="1:47" x14ac:dyDescent="0.2">
      <c r="A67" s="140"/>
      <c r="B67" s="130"/>
      <c r="C67" s="130"/>
      <c r="D67" s="130"/>
      <c r="E67" s="130"/>
      <c r="F67" s="130"/>
      <c r="G67" s="130"/>
      <c r="H67" s="130"/>
      <c r="I67" s="130"/>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0"/>
      <c r="AN67" s="130"/>
      <c r="AO67" s="130"/>
      <c r="AP67" s="130"/>
      <c r="AQ67" s="130"/>
      <c r="AT67" s="131"/>
      <c r="AU67" s="131"/>
    </row>
    <row r="68" spans="1:47" x14ac:dyDescent="0.2">
      <c r="A68" s="132" t="s">
        <v>144</v>
      </c>
      <c r="B68" s="133"/>
      <c r="C68" s="133"/>
      <c r="D68" s="133"/>
      <c r="E68" s="133"/>
      <c r="F68" s="133">
        <v>-136</v>
      </c>
      <c r="G68" s="133"/>
      <c r="H68" s="133"/>
      <c r="I68" s="133"/>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3"/>
      <c r="AN68" s="133"/>
      <c r="AO68" s="133"/>
      <c r="AP68" s="133"/>
      <c r="AQ68" s="133"/>
      <c r="AR68" s="130"/>
      <c r="AS68" s="130"/>
      <c r="AT68" s="134"/>
      <c r="AU68" s="134"/>
    </row>
    <row r="69" spans="1:47" x14ac:dyDescent="0.2">
      <c r="A69" s="143" t="s">
        <v>67</v>
      </c>
      <c r="B69" s="144">
        <v>274981</v>
      </c>
      <c r="C69" s="144">
        <v>-636862</v>
      </c>
      <c r="D69" s="144">
        <v>-696126</v>
      </c>
      <c r="E69" s="144">
        <v>-1390925</v>
      </c>
      <c r="F69" s="144">
        <v>222396</v>
      </c>
      <c r="G69" s="144">
        <v>662557</v>
      </c>
      <c r="H69" s="144">
        <v>660198</v>
      </c>
      <c r="I69" s="144">
        <v>426659</v>
      </c>
      <c r="J69" s="145">
        <v>-21605</v>
      </c>
      <c r="K69" s="145">
        <v>120658</v>
      </c>
      <c r="L69" s="145">
        <v>1700601</v>
      </c>
      <c r="M69" s="145">
        <v>1180931</v>
      </c>
      <c r="N69" s="145">
        <v>-564772</v>
      </c>
      <c r="O69" s="145">
        <v>-556282</v>
      </c>
      <c r="P69" s="145">
        <v>-503063</v>
      </c>
      <c r="Q69" s="145">
        <v>-911841</v>
      </c>
      <c r="R69" s="145">
        <v>-119596</v>
      </c>
      <c r="S69" s="145">
        <v>-326584</v>
      </c>
      <c r="T69" s="145">
        <v>-478978</v>
      </c>
      <c r="U69" s="145">
        <v>-495457</v>
      </c>
      <c r="V69" s="145">
        <v>218091</v>
      </c>
      <c r="W69" s="145">
        <v>201558</v>
      </c>
      <c r="X69" s="145">
        <v>45443</v>
      </c>
      <c r="Y69" s="145">
        <v>-15418</v>
      </c>
      <c r="Z69" s="145">
        <v>196117</v>
      </c>
      <c r="AA69" s="145">
        <f>AA66+AA53+AA29</f>
        <v>8447</v>
      </c>
      <c r="AB69" s="145">
        <v>1063482</v>
      </c>
      <c r="AC69" s="145">
        <v>262717</v>
      </c>
      <c r="AD69" s="145">
        <v>229655</v>
      </c>
      <c r="AE69" s="145">
        <f>AE66+AE53+AE29</f>
        <v>231840</v>
      </c>
      <c r="AF69" s="145">
        <f>AF66+AF53+AF32</f>
        <v>-149980</v>
      </c>
      <c r="AG69" s="145">
        <v>-16046</v>
      </c>
      <c r="AH69" s="145">
        <v>-130971</v>
      </c>
      <c r="AI69" s="145">
        <v>-40269</v>
      </c>
      <c r="AJ69" s="145">
        <v>-148686</v>
      </c>
      <c r="AK69" s="145">
        <v>-284447</v>
      </c>
      <c r="AL69" s="145"/>
      <c r="AM69" s="144">
        <v>-1390925</v>
      </c>
      <c r="AN69" s="144">
        <v>426659</v>
      </c>
      <c r="AO69" s="144">
        <v>1180931</v>
      </c>
      <c r="AP69" s="144">
        <f>Q69</f>
        <v>-911841</v>
      </c>
      <c r="AQ69" s="144">
        <f>U69</f>
        <v>-495457</v>
      </c>
      <c r="AR69" s="144">
        <f>Y69</f>
        <v>-15418</v>
      </c>
      <c r="AS69" s="144">
        <f>AC69</f>
        <v>262717</v>
      </c>
      <c r="AT69" s="145">
        <f>AG69</f>
        <v>-16046</v>
      </c>
      <c r="AU69" s="145">
        <f>AK69</f>
        <v>-284447</v>
      </c>
    </row>
    <row r="70" spans="1:47" x14ac:dyDescent="0.2">
      <c r="A70" s="146"/>
      <c r="B70" s="114"/>
      <c r="C70" s="114"/>
      <c r="D70" s="114"/>
      <c r="E70" s="114"/>
      <c r="F70" s="114"/>
      <c r="G70" s="114"/>
      <c r="H70" s="114"/>
      <c r="I70" s="114"/>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4"/>
      <c r="AN70" s="114"/>
      <c r="AO70" s="114"/>
      <c r="AP70" s="114"/>
      <c r="AQ70" s="114"/>
      <c r="AR70" s="114"/>
      <c r="AS70" s="114"/>
      <c r="AT70" s="115"/>
      <c r="AU70" s="115"/>
    </row>
    <row r="71" spans="1:47" x14ac:dyDescent="0.2">
      <c r="A71" s="147" t="s">
        <v>68</v>
      </c>
      <c r="B71" s="148">
        <v>72135</v>
      </c>
      <c r="C71" s="148">
        <v>98307</v>
      </c>
      <c r="D71" s="148">
        <v>114414</v>
      </c>
      <c r="E71" s="148">
        <v>131990</v>
      </c>
      <c r="F71" s="148">
        <v>10700</v>
      </c>
      <c r="G71" s="148">
        <v>20786</v>
      </c>
      <c r="H71" s="148">
        <v>63057</v>
      </c>
      <c r="I71" s="148">
        <v>62769</v>
      </c>
      <c r="J71" s="149">
        <v>48338</v>
      </c>
      <c r="K71" s="149">
        <v>50043</v>
      </c>
      <c r="L71" s="149">
        <v>-119814</v>
      </c>
      <c r="M71" s="149">
        <v>-175583</v>
      </c>
      <c r="N71" s="149">
        <v>-49072</v>
      </c>
      <c r="O71" s="149">
        <v>-13196</v>
      </c>
      <c r="P71" s="149">
        <v>-15358</v>
      </c>
      <c r="Q71" s="149">
        <v>-1100</v>
      </c>
      <c r="R71" s="149">
        <v>29853</v>
      </c>
      <c r="S71" s="149">
        <v>32721</v>
      </c>
      <c r="T71" s="149">
        <v>11861</v>
      </c>
      <c r="U71" s="149">
        <v>-3612</v>
      </c>
      <c r="V71" s="149">
        <v>11280</v>
      </c>
      <c r="W71" s="149">
        <v>-38102</v>
      </c>
      <c r="X71" s="149">
        <v>36609</v>
      </c>
      <c r="Y71" s="149">
        <v>64608</v>
      </c>
      <c r="Z71" s="149">
        <v>-67574</v>
      </c>
      <c r="AA71" s="149">
        <v>-36457</v>
      </c>
      <c r="AB71" s="149">
        <v>-57766</v>
      </c>
      <c r="AC71" s="149">
        <v>-108639</v>
      </c>
      <c r="AD71" s="149">
        <v>38928</v>
      </c>
      <c r="AE71" s="149">
        <v>57637</v>
      </c>
      <c r="AF71" s="149">
        <v>34088</v>
      </c>
      <c r="AG71" s="149">
        <v>34791</v>
      </c>
      <c r="AH71" s="149">
        <v>-9087</v>
      </c>
      <c r="AI71" s="149">
        <v>9344</v>
      </c>
      <c r="AJ71" s="149">
        <v>-6630</v>
      </c>
      <c r="AK71" s="149">
        <v>-136335</v>
      </c>
      <c r="AL71" s="149"/>
      <c r="AM71" s="148">
        <v>131990</v>
      </c>
      <c r="AN71" s="148">
        <v>62769</v>
      </c>
      <c r="AO71" s="148">
        <v>-175583</v>
      </c>
      <c r="AP71" s="148">
        <f>Q71</f>
        <v>-1100</v>
      </c>
      <c r="AQ71" s="148">
        <f>U71</f>
        <v>-3612</v>
      </c>
      <c r="AR71" s="148">
        <f>Y71</f>
        <v>64608</v>
      </c>
      <c r="AS71" s="148">
        <f>AC71</f>
        <v>-108639</v>
      </c>
      <c r="AT71" s="149">
        <f>AG71</f>
        <v>34791</v>
      </c>
      <c r="AU71" s="149">
        <f>AK71</f>
        <v>-136335</v>
      </c>
    </row>
    <row r="72" spans="1:47" x14ac:dyDescent="0.2">
      <c r="A72" s="146"/>
      <c r="B72" s="114"/>
      <c r="C72" s="114"/>
      <c r="D72" s="114"/>
      <c r="E72" s="114"/>
      <c r="F72" s="114"/>
      <c r="G72" s="114"/>
      <c r="H72" s="114"/>
      <c r="I72" s="114"/>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4"/>
      <c r="AN72" s="114"/>
      <c r="AO72" s="114"/>
      <c r="AP72" s="114"/>
      <c r="AQ72" s="114"/>
      <c r="AR72" s="114"/>
      <c r="AS72" s="114"/>
      <c r="AT72" s="115"/>
      <c r="AU72" s="115"/>
    </row>
    <row r="73" spans="1:47" x14ac:dyDescent="0.2">
      <c r="A73" s="150" t="s">
        <v>69</v>
      </c>
      <c r="B73" s="151">
        <v>1924148</v>
      </c>
      <c r="C73" s="151">
        <v>1924148</v>
      </c>
      <c r="D73" s="151">
        <v>1924148</v>
      </c>
      <c r="E73" s="151">
        <v>1924148</v>
      </c>
      <c r="F73" s="151">
        <v>665213</v>
      </c>
      <c r="G73" s="151">
        <v>665213</v>
      </c>
      <c r="H73" s="151">
        <v>665213</v>
      </c>
      <c r="I73" s="151">
        <v>665213</v>
      </c>
      <c r="J73" s="152">
        <v>1154641</v>
      </c>
      <c r="K73" s="152">
        <v>1154641</v>
      </c>
      <c r="L73" s="152">
        <v>1154641</v>
      </c>
      <c r="M73" s="152">
        <v>1154641</v>
      </c>
      <c r="N73" s="152">
        <v>2159989</v>
      </c>
      <c r="O73" s="152">
        <v>2159989</v>
      </c>
      <c r="P73" s="152">
        <v>2159989</v>
      </c>
      <c r="Q73" s="152">
        <v>2159989</v>
      </c>
      <c r="R73" s="152">
        <v>1247048</v>
      </c>
      <c r="S73" s="152">
        <v>1247048</v>
      </c>
      <c r="T73" s="152">
        <v>1247048</v>
      </c>
      <c r="U73" s="152">
        <v>1247048</v>
      </c>
      <c r="V73" s="152">
        <v>747979</v>
      </c>
      <c r="W73" s="152">
        <v>747979</v>
      </c>
      <c r="X73" s="152">
        <v>747979</v>
      </c>
      <c r="Y73" s="152">
        <v>747979</v>
      </c>
      <c r="Z73" s="152">
        <v>797169</v>
      </c>
      <c r="AA73" s="152">
        <f>Y75</f>
        <v>797169</v>
      </c>
      <c r="AB73" s="152">
        <v>797169</v>
      </c>
      <c r="AC73" s="152">
        <v>797169</v>
      </c>
      <c r="AD73" s="152">
        <v>951247</v>
      </c>
      <c r="AE73" s="152">
        <v>951247</v>
      </c>
      <c r="AF73" s="152">
        <v>951247</v>
      </c>
      <c r="AG73" s="152">
        <v>951247</v>
      </c>
      <c r="AH73" s="152">
        <v>969992</v>
      </c>
      <c r="AI73" s="152">
        <v>969992</v>
      </c>
      <c r="AJ73" s="152">
        <v>969992</v>
      </c>
      <c r="AK73" s="152">
        <v>969992</v>
      </c>
      <c r="AL73" s="152"/>
      <c r="AM73" s="151">
        <v>1924148</v>
      </c>
      <c r="AN73" s="151">
        <v>665213</v>
      </c>
      <c r="AO73" s="151">
        <v>1154641</v>
      </c>
      <c r="AP73" s="151">
        <f>Q73</f>
        <v>2159989</v>
      </c>
      <c r="AQ73" s="151">
        <f>U73</f>
        <v>1247048</v>
      </c>
      <c r="AR73" s="151">
        <f>Y73</f>
        <v>747979</v>
      </c>
      <c r="AS73" s="151">
        <f>AC73</f>
        <v>797169</v>
      </c>
      <c r="AT73" s="152">
        <f>AG73</f>
        <v>951247</v>
      </c>
      <c r="AU73" s="152">
        <f>AK73</f>
        <v>969992</v>
      </c>
    </row>
    <row r="74" spans="1:47" x14ac:dyDescent="0.2">
      <c r="A74" s="146"/>
      <c r="B74" s="114"/>
      <c r="C74" s="114"/>
      <c r="D74" s="114"/>
      <c r="E74" s="114"/>
      <c r="F74" s="114"/>
      <c r="G74" s="114"/>
      <c r="H74" s="114"/>
      <c r="I74" s="114"/>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4"/>
      <c r="AN74" s="114"/>
      <c r="AO74" s="114"/>
      <c r="AP74" s="114"/>
      <c r="AQ74" s="114"/>
      <c r="AR74" s="114"/>
      <c r="AS74" s="114"/>
      <c r="AT74" s="115"/>
      <c r="AU74" s="115"/>
    </row>
    <row r="75" spans="1:47" ht="12" thickBot="1" x14ac:dyDescent="0.25">
      <c r="A75" s="153" t="s">
        <v>70</v>
      </c>
      <c r="B75" s="154">
        <v>2271264</v>
      </c>
      <c r="C75" s="154">
        <v>1385593</v>
      </c>
      <c r="D75" s="154">
        <v>1342436</v>
      </c>
      <c r="E75" s="154">
        <v>665213</v>
      </c>
      <c r="F75" s="154">
        <v>898309</v>
      </c>
      <c r="G75" s="154">
        <v>1348556</v>
      </c>
      <c r="H75" s="154">
        <v>1388468</v>
      </c>
      <c r="I75" s="154">
        <v>1154641</v>
      </c>
      <c r="J75" s="155">
        <v>1181374</v>
      </c>
      <c r="K75" s="155">
        <v>1325342</v>
      </c>
      <c r="L75" s="155">
        <v>2735428</v>
      </c>
      <c r="M75" s="155">
        <v>2159989</v>
      </c>
      <c r="N75" s="155">
        <v>1546145</v>
      </c>
      <c r="O75" s="155">
        <v>1590511</v>
      </c>
      <c r="P75" s="155">
        <v>1641568</v>
      </c>
      <c r="Q75" s="155">
        <v>1247048</v>
      </c>
      <c r="R75" s="155">
        <v>1157305</v>
      </c>
      <c r="S75" s="155">
        <v>953185</v>
      </c>
      <c r="T75" s="155">
        <v>779931</v>
      </c>
      <c r="U75" s="155">
        <v>747979</v>
      </c>
      <c r="V75" s="155">
        <v>977350</v>
      </c>
      <c r="W75" s="155">
        <v>911435</v>
      </c>
      <c r="X75" s="155">
        <v>830031</v>
      </c>
      <c r="Y75" s="155">
        <v>797169</v>
      </c>
      <c r="Z75" s="309">
        <v>925712</v>
      </c>
      <c r="AA75" s="309">
        <f>AA71+AA69+AA73</f>
        <v>769159</v>
      </c>
      <c r="AB75" s="309">
        <v>1802885</v>
      </c>
      <c r="AC75" s="309">
        <v>951247</v>
      </c>
      <c r="AD75" s="309">
        <v>1219830</v>
      </c>
      <c r="AE75" s="309">
        <f>AE69+AE71+AE73</f>
        <v>1240724</v>
      </c>
      <c r="AF75" s="309">
        <f>AF69+AF71+AF73</f>
        <v>835355</v>
      </c>
      <c r="AG75" s="309">
        <v>969992</v>
      </c>
      <c r="AH75" s="309">
        <v>829934</v>
      </c>
      <c r="AI75" s="309">
        <v>939067</v>
      </c>
      <c r="AJ75" s="309">
        <v>814676</v>
      </c>
      <c r="AK75" s="309">
        <v>549210</v>
      </c>
      <c r="AL75" s="155"/>
      <c r="AM75" s="154">
        <v>665213</v>
      </c>
      <c r="AN75" s="154">
        <v>1154641</v>
      </c>
      <c r="AO75" s="154">
        <v>2159989</v>
      </c>
      <c r="AP75" s="154">
        <f>Q75</f>
        <v>1247048</v>
      </c>
      <c r="AQ75" s="154">
        <f>U75</f>
        <v>747979</v>
      </c>
      <c r="AR75" s="154">
        <f>Y75</f>
        <v>797169</v>
      </c>
      <c r="AS75" s="154">
        <f>AC75</f>
        <v>951247</v>
      </c>
      <c r="AT75" s="309">
        <f>AG75</f>
        <v>969992</v>
      </c>
      <c r="AU75" s="309">
        <f>AK75</f>
        <v>549210</v>
      </c>
    </row>
    <row r="76" spans="1:47" x14ac:dyDescent="0.2">
      <c r="B76" s="88"/>
      <c r="C76" s="88"/>
      <c r="D76" s="88"/>
      <c r="E76" s="88"/>
      <c r="F76" s="88"/>
      <c r="G76" s="88"/>
      <c r="H76" s="88"/>
      <c r="I76" s="88"/>
      <c r="J76" s="88"/>
      <c r="K76" s="88"/>
      <c r="L76" s="112"/>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row>
    <row r="77" spans="1:47" x14ac:dyDescent="0.2">
      <c r="A77" s="135" t="s">
        <v>245</v>
      </c>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row>
    <row r="78" spans="1:47" x14ac:dyDescent="0.2">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row>
    <row r="79" spans="1:47" x14ac:dyDescent="0.2">
      <c r="A79" s="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row>
    <row r="80" spans="1:47" x14ac:dyDescent="0.2">
      <c r="A80" s="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row>
    <row r="81" spans="1:41" x14ac:dyDescent="0.2">
      <c r="A81" s="7"/>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row>
    <row r="82" spans="1:41" x14ac:dyDescent="0.2">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row>
    <row r="83" spans="1:41" x14ac:dyDescent="0.2">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row>
    <row r="84" spans="1:41" x14ac:dyDescent="0.2">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row>
    <row r="85" spans="1:41" x14ac:dyDescent="0.2">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row>
    <row r="86" spans="1:41" x14ac:dyDescent="0.2">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row>
    <row r="87" spans="1:41" x14ac:dyDescent="0.2">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row>
    <row r="88" spans="1:41" x14ac:dyDescent="0.2">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row>
    <row r="89" spans="1:41" x14ac:dyDescent="0.2">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row>
    <row r="90" spans="1:41" x14ac:dyDescent="0.2">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row>
    <row r="91" spans="1:41" x14ac:dyDescent="0.2">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row>
    <row r="92" spans="1:41"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row>
    <row r="93" spans="1:41" x14ac:dyDescent="0.2">
      <c r="A93" s="7"/>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row>
    <row r="94" spans="1:41" x14ac:dyDescent="0.2">
      <c r="A94" s="7"/>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row>
    <row r="95" spans="1:41" x14ac:dyDescent="0.2">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row>
    <row r="96" spans="1:41" x14ac:dyDescent="0.2">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row>
    <row r="97" spans="2:41" x14ac:dyDescent="0.2">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row>
    <row r="98" spans="2:41" x14ac:dyDescent="0.2">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row>
    <row r="99" spans="2:41" x14ac:dyDescent="0.2">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row>
    <row r="100" spans="2:41" x14ac:dyDescent="0.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row>
    <row r="101" spans="2:41" x14ac:dyDescent="0.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row>
    <row r="102" spans="2:41" x14ac:dyDescent="0.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row>
    <row r="103" spans="2:41" x14ac:dyDescent="0.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row>
    <row r="104" spans="2:41" x14ac:dyDescent="0.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row>
    <row r="105" spans="2:41" x14ac:dyDescent="0.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row>
    <row r="106" spans="2:41"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row>
    <row r="107" spans="2:41" x14ac:dyDescent="0.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row>
    <row r="108" spans="2:41" x14ac:dyDescent="0.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row>
    <row r="109" spans="2:41" x14ac:dyDescent="0.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row>
    <row r="110" spans="2:41" x14ac:dyDescent="0.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row>
    <row r="111" spans="2:41" x14ac:dyDescent="0.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row>
    <row r="112" spans="2:41" x14ac:dyDescent="0.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row>
    <row r="113" spans="2:41" x14ac:dyDescent="0.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row>
    <row r="114" spans="2:41"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row>
    <row r="115" spans="2:41"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row>
    <row r="116" spans="2:41"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row>
    <row r="117" spans="2:41"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row>
    <row r="118" spans="2:41"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row>
    <row r="119" spans="2:41"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row>
    <row r="120" spans="2:41"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row>
    <row r="121" spans="2:41"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row>
    <row r="122" spans="2:41"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row>
    <row r="123" spans="2:41"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row>
    <row r="124" spans="2:41"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row>
    <row r="125" spans="2:41"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row>
    <row r="126" spans="2:41"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row>
    <row r="127" spans="2:41"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row>
    <row r="128" spans="2:41"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row>
    <row r="129" spans="2:41"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row>
    <row r="130" spans="2:41"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row>
    <row r="131" spans="2:41"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row>
    <row r="132" spans="2:41"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row>
    <row r="133" spans="2:41"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row>
    <row r="134" spans="2:41"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row>
    <row r="135" spans="2:41"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row>
    <row r="136" spans="2:41"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row>
    <row r="137" spans="2:41"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row>
    <row r="138" spans="2:41"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row>
    <row r="139" spans="2:41"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row>
    <row r="140" spans="2:41"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row>
    <row r="141" spans="2:41"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row>
    <row r="142" spans="2:41"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row>
    <row r="143" spans="2:41"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row>
    <row r="144" spans="2:41"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row>
    <row r="145" spans="2:41"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row>
    <row r="146" spans="2:41" x14ac:dyDescent="0.2">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row>
    <row r="147" spans="2:41" x14ac:dyDescent="0.2">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row>
    <row r="148" spans="2:41" x14ac:dyDescent="0.2">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row>
    <row r="149" spans="2:41" x14ac:dyDescent="0.2">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row>
    <row r="150" spans="2:41" x14ac:dyDescent="0.2">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row>
    <row r="151" spans="2:41" x14ac:dyDescent="0.2">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row>
  </sheetData>
  <phoneticPr fontId="2" type="noConversion"/>
  <pageMargins left="0.25" right="0.25" top="0.75" bottom="0.75" header="0.3" footer="0.3"/>
  <pageSetup paperSize="9" scale="51" orientation="landscape" r:id="rId1"/>
  <headerFooter alignWithMargins="0">
    <oddFooter>&amp;CPage &amp;P of &amp;N&amp;R&amp;F&amp;A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10</vt:i4>
      </vt:variant>
    </vt:vector>
  </HeadingPairs>
  <TitlesOfParts>
    <vt:vector size="20" baseType="lpstr">
      <vt:lpstr>Cover</vt:lpstr>
      <vt:lpstr>Multiples</vt:lpstr>
      <vt:lpstr>Steel segment</vt:lpstr>
      <vt:lpstr>Long products segment</vt:lpstr>
      <vt:lpstr>Mining segment</vt:lpstr>
      <vt:lpstr>Foreign rolled products segment</vt:lpstr>
      <vt:lpstr>Other segment</vt:lpstr>
      <vt:lpstr>P&amp;L</vt:lpstr>
      <vt:lpstr>CashFlow</vt:lpstr>
      <vt:lpstr>Balance Sheet</vt:lpstr>
      <vt:lpstr>'P&amp;L'!Выручка_отчетный_период</vt:lpstr>
      <vt:lpstr>'Balance Sheet'!Область_печати</vt:lpstr>
      <vt:lpstr>CashFlow!Область_печати</vt:lpstr>
      <vt:lpstr>'Foreign rolled products segment'!Область_печати</vt:lpstr>
      <vt:lpstr>'Long products segment'!Область_печати</vt:lpstr>
      <vt:lpstr>'Mining segment'!Область_печати</vt:lpstr>
      <vt:lpstr>Multiples!Область_печати</vt:lpstr>
      <vt:lpstr>'Other segment'!Область_печати</vt:lpstr>
      <vt:lpstr>'P&amp;L'!Область_печати</vt:lpstr>
      <vt:lpstr>'Steel segment'!Область_печати</vt:lpstr>
    </vt:vector>
  </TitlesOfParts>
  <Company>Mittal Steel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and operational data</dc:title>
  <dc:creator>takhiev@nlmk.msk.ru</dc:creator>
  <cp:keywords>financial and operational data</cp:keywords>
  <cp:lastModifiedBy>preduschenko_ma</cp:lastModifiedBy>
  <cp:lastPrinted>2014-10-16T14:31:21Z</cp:lastPrinted>
  <dcterms:created xsi:type="dcterms:W3CDTF">2007-07-03T17:08:43Z</dcterms:created>
  <dcterms:modified xsi:type="dcterms:W3CDTF">2015-03-24T16:22:03Z</dcterms:modified>
  <cp:category>template</cp:category>
  <cp:contentStatus>on progress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Spreadsheet_Financial &amp; operational data by segment_H1 2010.xls</vt:lpwstr>
  </property>
</Properties>
</file>